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EETS\calc sheets\RESIDENTIAL\"/>
    </mc:Choice>
  </mc:AlternateContent>
  <bookViews>
    <workbookView xWindow="0" yWindow="0" windowWidth="18045" windowHeight="12975" activeTab="1"/>
  </bookViews>
  <sheets>
    <sheet name="wind-siesmic" sheetId="2" r:id="rId1"/>
    <sheet name="knee brace and t strap" sheetId="1" r:id="rId2"/>
  </sheets>
  <definedNames>
    <definedName name="posts">'knee brace and t strap'!$B$9:$C$9</definedName>
    <definedName name="_xlnm.Print_Area" localSheetId="0">'wind-siesmic'!$A$1:$Z$172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2" l="1"/>
  <c r="E51" i="2"/>
  <c r="B50" i="2"/>
  <c r="G17" i="1" l="1"/>
  <c r="J36" i="1" l="1"/>
  <c r="J32" i="1"/>
  <c r="L163" i="2"/>
  <c r="F175" i="2"/>
  <c r="E175" i="2"/>
  <c r="L162" i="2"/>
  <c r="F174" i="2"/>
  <c r="E174" i="2"/>
  <c r="L161" i="2"/>
  <c r="F173" i="2"/>
  <c r="E173" i="2"/>
  <c r="L160" i="2"/>
  <c r="F172" i="2"/>
  <c r="E172" i="2"/>
  <c r="L159" i="2"/>
  <c r="F171" i="2"/>
  <c r="E171" i="2"/>
  <c r="L158" i="2"/>
  <c r="F170" i="2"/>
  <c r="E170" i="2"/>
  <c r="L157" i="2"/>
  <c r="F169" i="2"/>
  <c r="E169" i="2"/>
  <c r="L156" i="2"/>
  <c r="F168" i="2"/>
  <c r="E168" i="2"/>
  <c r="L153" i="2"/>
  <c r="F165" i="2"/>
  <c r="E165" i="2"/>
  <c r="L152" i="2"/>
  <c r="F164" i="2"/>
  <c r="E164" i="2"/>
  <c r="L151" i="2"/>
  <c r="F163" i="2"/>
  <c r="E163" i="2"/>
  <c r="L150" i="2"/>
  <c r="F162" i="2"/>
  <c r="E162" i="2"/>
  <c r="L149" i="2"/>
  <c r="F161" i="2"/>
  <c r="E161" i="2"/>
  <c r="L148" i="2"/>
  <c r="F160" i="2"/>
  <c r="E160" i="2"/>
  <c r="L147" i="2"/>
  <c r="F159" i="2"/>
  <c r="E159" i="2"/>
  <c r="L146" i="2"/>
  <c r="F158" i="2"/>
  <c r="E158" i="2"/>
  <c r="B151" i="2"/>
  <c r="D144" i="2"/>
  <c r="E144" i="2" s="1"/>
  <c r="A144" i="2"/>
  <c r="A175" i="2" s="1"/>
  <c r="D143" i="2"/>
  <c r="E143" i="2" s="1"/>
  <c r="A143" i="2"/>
  <c r="A174" i="2" s="1"/>
  <c r="D142" i="2"/>
  <c r="E142" i="2" s="1"/>
  <c r="A142" i="2"/>
  <c r="A173" i="2" s="1"/>
  <c r="D141" i="2"/>
  <c r="E141" i="2" s="1"/>
  <c r="A141" i="2"/>
  <c r="A172" i="2" s="1"/>
  <c r="D140" i="2"/>
  <c r="E140" i="2" s="1"/>
  <c r="A140" i="2"/>
  <c r="A171" i="2" s="1"/>
  <c r="D139" i="2"/>
  <c r="E139" i="2" s="1"/>
  <c r="A139" i="2"/>
  <c r="A170" i="2" s="1"/>
  <c r="D138" i="2"/>
  <c r="E138" i="2" s="1"/>
  <c r="A138" i="2"/>
  <c r="A169" i="2" s="1"/>
  <c r="D137" i="2"/>
  <c r="E137" i="2" s="1"/>
  <c r="A137" i="2"/>
  <c r="A168" i="2" s="1"/>
  <c r="D134" i="2"/>
  <c r="E134" i="2" s="1"/>
  <c r="A134" i="2"/>
  <c r="A165" i="2" s="1"/>
  <c r="D133" i="2"/>
  <c r="E133" i="2" s="1"/>
  <c r="A133" i="2"/>
  <c r="A164" i="2" s="1"/>
  <c r="D132" i="2"/>
  <c r="E132" i="2" s="1"/>
  <c r="A132" i="2"/>
  <c r="A163" i="2" s="1"/>
  <c r="D131" i="2"/>
  <c r="E131" i="2" s="1"/>
  <c r="A131" i="2"/>
  <c r="A162" i="2" s="1"/>
  <c r="D130" i="2"/>
  <c r="E130" i="2" s="1"/>
  <c r="A130" i="2"/>
  <c r="A161" i="2" s="1"/>
  <c r="D129" i="2"/>
  <c r="E129" i="2" s="1"/>
  <c r="A129" i="2"/>
  <c r="A160" i="2" s="1"/>
  <c r="D128" i="2"/>
  <c r="E128" i="2" s="1"/>
  <c r="A128" i="2"/>
  <c r="A159" i="2" s="1"/>
  <c r="D127" i="2"/>
  <c r="E127" i="2" s="1"/>
  <c r="A127" i="2"/>
  <c r="A158" i="2" s="1"/>
  <c r="G118" i="2"/>
  <c r="G144" i="2" s="1"/>
  <c r="G117" i="2"/>
  <c r="G143" i="2" s="1"/>
  <c r="G116" i="2"/>
  <c r="G142" i="2" s="1"/>
  <c r="G115" i="2"/>
  <c r="G141" i="2" s="1"/>
  <c r="G114" i="2"/>
  <c r="G140" i="2" s="1"/>
  <c r="G113" i="2"/>
  <c r="G139" i="2" s="1"/>
  <c r="C113" i="2"/>
  <c r="B113" i="2"/>
  <c r="G112" i="2"/>
  <c r="G138" i="2" s="1"/>
  <c r="C112" i="2"/>
  <c r="B112" i="2"/>
  <c r="G111" i="2"/>
  <c r="G137" i="2" s="1"/>
  <c r="C111" i="2"/>
  <c r="B111" i="2"/>
  <c r="F109" i="2"/>
  <c r="G109" i="2" s="1"/>
  <c r="C109" i="2"/>
  <c r="B109" i="2"/>
  <c r="F108" i="2"/>
  <c r="G108" i="2" s="1"/>
  <c r="C108" i="2"/>
  <c r="B108" i="2"/>
  <c r="F107" i="2"/>
  <c r="G107" i="2" s="1"/>
  <c r="C107" i="2"/>
  <c r="B107" i="2"/>
  <c r="F105" i="2"/>
  <c r="G105" i="2" s="1"/>
  <c r="C105" i="2"/>
  <c r="B105" i="2"/>
  <c r="F104" i="2"/>
  <c r="G104" i="2" s="1"/>
  <c r="C104" i="2"/>
  <c r="B104" i="2"/>
  <c r="F103" i="2"/>
  <c r="G103" i="2" s="1"/>
  <c r="C103" i="2"/>
  <c r="B103" i="2"/>
  <c r="F102" i="2"/>
  <c r="G102" i="2" s="1"/>
  <c r="C102" i="2"/>
  <c r="B102" i="2"/>
  <c r="F101" i="2"/>
  <c r="G101" i="2" s="1"/>
  <c r="C101" i="2"/>
  <c r="B101" i="2"/>
  <c r="F100" i="2"/>
  <c r="G100" i="2" s="1"/>
  <c r="C100" i="2"/>
  <c r="B100" i="2"/>
  <c r="G99" i="2"/>
  <c r="G134" i="2" s="1"/>
  <c r="C99" i="2"/>
  <c r="B99" i="2"/>
  <c r="G98" i="2"/>
  <c r="G133" i="2" s="1"/>
  <c r="C98" i="2"/>
  <c r="B98" i="2"/>
  <c r="F97" i="2"/>
  <c r="G97" i="2" s="1"/>
  <c r="C97" i="2"/>
  <c r="B97" i="2"/>
  <c r="G96" i="2"/>
  <c r="G132" i="2" s="1"/>
  <c r="C96" i="2"/>
  <c r="B96" i="2"/>
  <c r="G95" i="2"/>
  <c r="G131" i="2" s="1"/>
  <c r="C95" i="2"/>
  <c r="B95" i="2"/>
  <c r="F94" i="2"/>
  <c r="G94" i="2" s="1"/>
  <c r="G130" i="2" s="1"/>
  <c r="C94" i="2"/>
  <c r="B94" i="2"/>
  <c r="F93" i="2"/>
  <c r="G93" i="2" s="1"/>
  <c r="G129" i="2" s="1"/>
  <c r="C93" i="2"/>
  <c r="B93" i="2"/>
  <c r="F92" i="2"/>
  <c r="G92" i="2" s="1"/>
  <c r="G128" i="2" s="1"/>
  <c r="C92" i="2"/>
  <c r="B92" i="2"/>
  <c r="F91" i="2"/>
  <c r="G91" i="2" s="1"/>
  <c r="G127" i="2" s="1"/>
  <c r="C91" i="2"/>
  <c r="B91" i="2"/>
  <c r="E82" i="2"/>
  <c r="E76" i="2"/>
  <c r="H74" i="2"/>
  <c r="B73" i="2"/>
  <c r="E70" i="2"/>
  <c r="H66" i="2"/>
  <c r="E65" i="2"/>
  <c r="B64" i="2"/>
  <c r="B37" i="2"/>
  <c r="B36" i="2"/>
  <c r="B35" i="2"/>
  <c r="D12" i="2"/>
  <c r="D17" i="2" s="1"/>
  <c r="D91" i="2" l="1"/>
  <c r="T80" i="2" s="1"/>
  <c r="D93" i="2"/>
  <c r="D95" i="2"/>
  <c r="D97" i="2"/>
  <c r="D98" i="2"/>
  <c r="D100" i="2"/>
  <c r="D101" i="2"/>
  <c r="D102" i="2"/>
  <c r="D103" i="2"/>
  <c r="D104" i="2"/>
  <c r="D105" i="2"/>
  <c r="D107" i="2"/>
  <c r="D108" i="2"/>
  <c r="D109" i="2"/>
  <c r="D92" i="2"/>
  <c r="T81" i="2" s="1"/>
  <c r="U81" i="2" s="1"/>
  <c r="D94" i="2"/>
  <c r="E94" i="2" s="1"/>
  <c r="F130" i="2" s="1"/>
  <c r="B161" i="2" s="1"/>
  <c r="D96" i="2"/>
  <c r="D99" i="2"/>
  <c r="T83" i="2"/>
  <c r="U80" i="2"/>
  <c r="E17" i="2"/>
  <c r="D118" i="2"/>
  <c r="E118" i="2" s="1"/>
  <c r="F144" i="2" s="1"/>
  <c r="B175" i="2" s="1"/>
  <c r="D116" i="2"/>
  <c r="E116" i="2" s="1"/>
  <c r="F142" i="2" s="1"/>
  <c r="B173" i="2" s="1"/>
  <c r="D114" i="2"/>
  <c r="E114" i="2" s="1"/>
  <c r="F140" i="2" s="1"/>
  <c r="B171" i="2" s="1"/>
  <c r="D117" i="2"/>
  <c r="E117" i="2" s="1"/>
  <c r="F143" i="2" s="1"/>
  <c r="B174" i="2" s="1"/>
  <c r="D115" i="2"/>
  <c r="E115" i="2" s="1"/>
  <c r="F141" i="2" s="1"/>
  <c r="B172" i="2" s="1"/>
  <c r="E96" i="2"/>
  <c r="F132" i="2" s="1"/>
  <c r="B163" i="2" s="1"/>
  <c r="P151" i="2" s="1"/>
  <c r="Q151" i="2" s="1"/>
  <c r="K151" i="2" s="1"/>
  <c r="E99" i="2"/>
  <c r="F134" i="2" s="1"/>
  <c r="B165" i="2" s="1"/>
  <c r="P153" i="2" s="1"/>
  <c r="Q153" i="2" s="1"/>
  <c r="K153" i="2" s="1"/>
  <c r="D111" i="2"/>
  <c r="E111" i="2" s="1"/>
  <c r="F137" i="2" s="1"/>
  <c r="B168" i="2" s="1"/>
  <c r="D112" i="2"/>
  <c r="E112" i="2" s="1"/>
  <c r="F138" i="2" s="1"/>
  <c r="B169" i="2" s="1"/>
  <c r="E91" i="2"/>
  <c r="F127" i="2" s="1"/>
  <c r="B158" i="2" s="1"/>
  <c r="E92" i="2"/>
  <c r="F128" i="2" s="1"/>
  <c r="B159" i="2" s="1"/>
  <c r="P147" i="2" s="1"/>
  <c r="Q147" i="2" s="1"/>
  <c r="K147" i="2" s="1"/>
  <c r="E93" i="2"/>
  <c r="F129" i="2" s="1"/>
  <c r="B160" i="2" s="1"/>
  <c r="E95" i="2"/>
  <c r="F131" i="2" s="1"/>
  <c r="B162" i="2" s="1"/>
  <c r="W83" i="2"/>
  <c r="Y83" i="2" s="1"/>
  <c r="E97" i="2"/>
  <c r="E98" i="2"/>
  <c r="F133" i="2" s="1"/>
  <c r="B164" i="2" s="1"/>
  <c r="E100" i="2"/>
  <c r="E101" i="2"/>
  <c r="E102" i="2"/>
  <c r="E103" i="2"/>
  <c r="E104" i="2"/>
  <c r="E105" i="2"/>
  <c r="E107" i="2"/>
  <c r="E108" i="2"/>
  <c r="E109" i="2"/>
  <c r="D113" i="2"/>
  <c r="E113" i="2" s="1"/>
  <c r="F139" i="2" s="1"/>
  <c r="B170" i="2" s="1"/>
  <c r="J69" i="1"/>
  <c r="K69" i="1"/>
  <c r="H69" i="1"/>
  <c r="I69" i="1"/>
  <c r="G69" i="1"/>
  <c r="G27" i="1"/>
  <c r="C27" i="1"/>
  <c r="G26" i="1"/>
  <c r="H20" i="1"/>
  <c r="G20" i="1"/>
  <c r="D20" i="1"/>
  <c r="C20" i="1"/>
  <c r="H19" i="1"/>
  <c r="G19" i="1"/>
  <c r="D19" i="1"/>
  <c r="E12" i="1" s="1"/>
  <c r="C19" i="1"/>
  <c r="H18" i="1"/>
  <c r="G18" i="1"/>
  <c r="D18" i="1"/>
  <c r="C18" i="1"/>
  <c r="H17" i="1"/>
  <c r="D17" i="1"/>
  <c r="E11" i="1" s="1"/>
  <c r="C17" i="1"/>
  <c r="D6" i="1" s="1"/>
  <c r="D12" i="1" s="1"/>
  <c r="B12" i="1"/>
  <c r="K19" i="1" s="1"/>
  <c r="B11" i="1"/>
  <c r="K17" i="1" s="1"/>
  <c r="J53" i="1" l="1"/>
  <c r="G70" i="1" s="1"/>
  <c r="F12" i="1"/>
  <c r="K18" i="1"/>
  <c r="H70" i="1"/>
  <c r="K20" i="1"/>
  <c r="K70" i="1"/>
  <c r="I150" i="2"/>
  <c r="J150" i="2"/>
  <c r="P150" i="2"/>
  <c r="Q150" i="2" s="1"/>
  <c r="K150" i="2" s="1"/>
  <c r="I148" i="2"/>
  <c r="J148" i="2"/>
  <c r="P148" i="2"/>
  <c r="Q148" i="2" s="1"/>
  <c r="K148" i="2" s="1"/>
  <c r="I146" i="2"/>
  <c r="J146" i="2"/>
  <c r="P146" i="2"/>
  <c r="Q146" i="2" s="1"/>
  <c r="K146" i="2" s="1"/>
  <c r="J157" i="2"/>
  <c r="I157" i="2"/>
  <c r="P157" i="2"/>
  <c r="Q157" i="2" s="1"/>
  <c r="K157" i="2" s="1"/>
  <c r="I160" i="2"/>
  <c r="J160" i="2"/>
  <c r="P160" i="2"/>
  <c r="Q160" i="2" s="1"/>
  <c r="K160" i="2" s="1"/>
  <c r="J159" i="2"/>
  <c r="I159" i="2"/>
  <c r="P159" i="2"/>
  <c r="Q159" i="2" s="1"/>
  <c r="K159" i="2" s="1"/>
  <c r="J163" i="2"/>
  <c r="I163" i="2"/>
  <c r="P163" i="2"/>
  <c r="Q163" i="2" s="1"/>
  <c r="K163" i="2" s="1"/>
  <c r="I158" i="2"/>
  <c r="J158" i="2"/>
  <c r="P158" i="2"/>
  <c r="Q158" i="2" s="1"/>
  <c r="K158" i="2" s="1"/>
  <c r="J149" i="2"/>
  <c r="I149" i="2"/>
  <c r="P149" i="2"/>
  <c r="Q149" i="2" s="1"/>
  <c r="K149" i="2" s="1"/>
  <c r="I156" i="2"/>
  <c r="J156" i="2"/>
  <c r="P156" i="2"/>
  <c r="Q156" i="2" s="1"/>
  <c r="K156" i="2" s="1"/>
  <c r="I162" i="2"/>
  <c r="J162" i="2"/>
  <c r="P162" i="2"/>
  <c r="Q162" i="2" s="1"/>
  <c r="K162" i="2" s="1"/>
  <c r="J161" i="2"/>
  <c r="I161" i="2"/>
  <c r="P161" i="2"/>
  <c r="Q161" i="2" s="1"/>
  <c r="K161" i="2" s="1"/>
  <c r="I152" i="2"/>
  <c r="J152" i="2"/>
  <c r="P152" i="2"/>
  <c r="Q152" i="2" s="1"/>
  <c r="K152" i="2" s="1"/>
  <c r="U83" i="2"/>
  <c r="V81" i="2" s="1"/>
  <c r="W81" i="2" s="1"/>
  <c r="X81" i="2" s="1"/>
  <c r="Y81" i="2" s="1"/>
  <c r="J151" i="2"/>
  <c r="I151" i="2"/>
  <c r="J147" i="2"/>
  <c r="I147" i="2"/>
  <c r="J153" i="2"/>
  <c r="I153" i="2"/>
  <c r="J41" i="1"/>
  <c r="J19" i="1"/>
  <c r="J20" i="1"/>
  <c r="I19" i="1"/>
  <c r="I20" i="1"/>
  <c r="D11" i="1"/>
  <c r="F11" i="1" s="1"/>
  <c r="I17" i="1" s="1"/>
  <c r="V80" i="2" l="1"/>
  <c r="W80" i="2" s="1"/>
  <c r="X80" i="2" s="1"/>
  <c r="Y80" i="2" s="1"/>
  <c r="I70" i="1"/>
  <c r="J70" i="1"/>
  <c r="J56" i="1"/>
  <c r="J44" i="1"/>
  <c r="I47" i="1" s="1"/>
  <c r="J47" i="1" s="1"/>
  <c r="M153" i="2"/>
  <c r="N153" i="2" s="1"/>
  <c r="O153" i="2" s="1"/>
  <c r="M147" i="2"/>
  <c r="N147" i="2" s="1"/>
  <c r="O147" i="2" s="1"/>
  <c r="M151" i="2"/>
  <c r="N151" i="2" s="1"/>
  <c r="O151" i="2" s="1"/>
  <c r="M161" i="2"/>
  <c r="N161" i="2" s="1"/>
  <c r="O161" i="2" s="1"/>
  <c r="M159" i="2"/>
  <c r="N159" i="2" s="1"/>
  <c r="O159" i="2" s="1"/>
  <c r="M157" i="2"/>
  <c r="N157" i="2" s="1"/>
  <c r="O157" i="2" s="1"/>
  <c r="M162" i="2"/>
  <c r="N162" i="2" s="1"/>
  <c r="O162" i="2" s="1"/>
  <c r="M156" i="2"/>
  <c r="N156" i="2" s="1"/>
  <c r="O156" i="2" s="1"/>
  <c r="M149" i="2"/>
  <c r="N149" i="2" s="1"/>
  <c r="O149" i="2" s="1"/>
  <c r="M158" i="2"/>
  <c r="N158" i="2" s="1"/>
  <c r="O158" i="2" s="1"/>
  <c r="M163" i="2"/>
  <c r="N163" i="2" s="1"/>
  <c r="O163" i="2" s="1"/>
  <c r="M148" i="2"/>
  <c r="N148" i="2" s="1"/>
  <c r="O148" i="2" s="1"/>
  <c r="X82" i="2"/>
  <c r="Y82" i="2" s="1"/>
  <c r="M152" i="2"/>
  <c r="N152" i="2" s="1"/>
  <c r="O152" i="2" s="1"/>
  <c r="M160" i="2"/>
  <c r="N160" i="2" s="1"/>
  <c r="O160" i="2" s="1"/>
  <c r="M146" i="2"/>
  <c r="N146" i="2" s="1"/>
  <c r="O146" i="2" s="1"/>
  <c r="M150" i="2"/>
  <c r="N150" i="2" s="1"/>
  <c r="O150" i="2" s="1"/>
  <c r="J18" i="1"/>
  <c r="I18" i="1"/>
  <c r="J17" i="1"/>
</calcChain>
</file>

<file path=xl/comments1.xml><?xml version="1.0" encoding="utf-8"?>
<comments xmlns="http://schemas.openxmlformats.org/spreadsheetml/2006/main">
  <authors>
    <author>RTweed</author>
    <author>RGriffith</author>
  </authors>
  <commentList>
    <comment ref="C90" authorId="0" shapeId="0">
      <text>
        <r>
          <rPr>
            <b/>
            <sz val="8"/>
            <color indexed="81"/>
            <rFont val="Tahoma"/>
            <family val="2"/>
          </rPr>
          <t>RTweed:</t>
        </r>
        <r>
          <rPr>
            <sz val="8"/>
            <color indexed="81"/>
            <rFont val="Tahoma"/>
            <family val="2"/>
          </rPr>
          <t xml:space="preserve">
enter full wall for 2-story
enter 1/2 wall for single story</t>
        </r>
      </text>
    </comment>
    <comment ref="G152" authorId="1" shapeId="0">
      <text>
        <r>
          <rPr>
            <b/>
            <sz val="8"/>
            <color indexed="81"/>
            <rFont val="Tahoma"/>
            <family val="2"/>
          </rPr>
          <t>RGriffith:</t>
        </r>
        <r>
          <rPr>
            <sz val="8"/>
            <color indexed="81"/>
            <rFont val="Tahoma"/>
            <family val="2"/>
          </rPr>
          <t xml:space="preserve">
No ASD reduction per ASCE 12.8</t>
        </r>
      </text>
    </comment>
  </commentList>
</comments>
</file>

<file path=xl/sharedStrings.xml><?xml version="1.0" encoding="utf-8"?>
<sst xmlns="http://schemas.openxmlformats.org/spreadsheetml/2006/main" count="375" uniqueCount="280">
  <si>
    <t>T Strap</t>
  </si>
  <si>
    <t>Vshear</t>
  </si>
  <si>
    <t>NDS Allow. per bolt Double Shear</t>
  </si>
  <si>
    <t>Posts</t>
  </si>
  <si>
    <t>Post Size</t>
  </si>
  <si>
    <t>Bolt Size</t>
  </si>
  <si>
    <r>
      <t xml:space="preserve">Z </t>
    </r>
    <r>
      <rPr>
        <vertAlign val="subscript"/>
        <sz val="10"/>
        <rFont val="Arial"/>
        <family val="2"/>
      </rPr>
      <t>par</t>
    </r>
  </si>
  <si>
    <r>
      <t xml:space="preserve">Z </t>
    </r>
    <r>
      <rPr>
        <vertAlign val="subscript"/>
        <sz val="10"/>
        <rFont val="Arial"/>
        <family val="2"/>
      </rPr>
      <t>perp</t>
    </r>
  </si>
  <si>
    <t>Post hgt</t>
  </si>
  <si>
    <t>4x4</t>
  </si>
  <si>
    <t>5/8"</t>
  </si>
  <si>
    <t>h1=Post hgt+d1</t>
  </si>
  <si>
    <t>6x6</t>
  </si>
  <si>
    <t>Load duration</t>
  </si>
  <si>
    <t>T-Strap Design Load</t>
  </si>
  <si>
    <t>F</t>
  </si>
  <si>
    <t>Model</t>
  </si>
  <si>
    <r>
      <t>h</t>
    </r>
    <r>
      <rPr>
        <vertAlign val="subscript"/>
        <sz val="10"/>
        <rFont val="Arial"/>
        <family val="2"/>
      </rPr>
      <t>1</t>
    </r>
  </si>
  <si>
    <r>
      <t>h</t>
    </r>
    <r>
      <rPr>
        <vertAlign val="subscript"/>
        <sz val="10"/>
        <rFont val="Arial"/>
        <family val="2"/>
      </rPr>
      <t>2</t>
    </r>
  </si>
  <si>
    <r>
      <t>V</t>
    </r>
    <r>
      <rPr>
        <vertAlign val="subscript"/>
        <sz val="10"/>
        <rFont val="Arial"/>
        <family val="2"/>
      </rPr>
      <t>b</t>
    </r>
  </si>
  <si>
    <t>T-Strap Bolt Check</t>
  </si>
  <si>
    <t>SIMPSON T STRAP</t>
  </si>
  <si>
    <t>Allowable per Strap</t>
  </si>
  <si>
    <t>Check</t>
  </si>
  <si>
    <r>
      <t>d</t>
    </r>
    <r>
      <rPr>
        <vertAlign val="subscript"/>
        <sz val="10"/>
        <rFont val="Arial"/>
        <family val="2"/>
      </rPr>
      <t>1</t>
    </r>
  </si>
  <si>
    <t>Bolts</t>
  </si>
  <si>
    <r>
      <t>F</t>
    </r>
    <r>
      <rPr>
        <vertAlign val="subscript"/>
        <sz val="10"/>
        <rFont val="Arial"/>
        <family val="2"/>
      </rPr>
      <t>1</t>
    </r>
  </si>
  <si>
    <t>Bolts 4x4</t>
  </si>
  <si>
    <t>Bolts 6x6</t>
  </si>
  <si>
    <t>1212HL</t>
  </si>
  <si>
    <t>1212HT</t>
  </si>
  <si>
    <t>1616HL</t>
  </si>
  <si>
    <t>1616HT</t>
  </si>
  <si>
    <t>Simple Knee Brace</t>
  </si>
  <si>
    <t>NDS Lag Parameters</t>
  </si>
  <si>
    <t>Shear Force</t>
  </si>
  <si>
    <t>Variables</t>
  </si>
  <si>
    <t>Lag Bolt</t>
  </si>
  <si>
    <t>V</t>
  </si>
  <si>
    <t>Embed</t>
  </si>
  <si>
    <t>Post hgt (H)</t>
  </si>
  <si>
    <t>Main</t>
  </si>
  <si>
    <t>V per post</t>
  </si>
  <si>
    <t>Brace (D1)</t>
  </si>
  <si>
    <t>Side</t>
  </si>
  <si>
    <t>Zpar</t>
  </si>
  <si>
    <t>Determine Lag Bolt Allow.</t>
  </si>
  <si>
    <t>Zperp</t>
  </si>
  <si>
    <t>Check T &lt; Z Allow.</t>
  </si>
  <si>
    <t>T=</t>
  </si>
  <si>
    <t>Determine Tension force at Bolts</t>
  </si>
  <si>
    <t>Number of Bolts</t>
  </si>
  <si>
    <t>Determine Shear force at Lag Screws</t>
  </si>
  <si>
    <t>1/4"</t>
  </si>
  <si>
    <t>Angle Load</t>
  </si>
  <si>
    <t>Z' Allow.</t>
  </si>
  <si>
    <t>3/8"</t>
  </si>
  <si>
    <t>1/2"</t>
  </si>
  <si>
    <t># Required</t>
  </si>
  <si>
    <t>#10 Screw</t>
  </si>
  <si>
    <t>#12 Screw</t>
  </si>
  <si>
    <t>Brace Attached to Face of Post &amp; Beam</t>
  </si>
  <si>
    <t>Wind Force</t>
  </si>
  <si>
    <t>V =</t>
  </si>
  <si>
    <t>I =</t>
  </si>
  <si>
    <t>EXPOSURE</t>
  </si>
  <si>
    <t>C</t>
  </si>
  <si>
    <t>h =</t>
  </si>
  <si>
    <r>
      <t>P = q</t>
    </r>
    <r>
      <rPr>
        <b/>
        <vertAlign val="subscript"/>
        <sz val="10"/>
        <color theme="1"/>
        <rFont val="Arial"/>
        <family val="2"/>
      </rPr>
      <t>h</t>
    </r>
    <r>
      <rPr>
        <b/>
        <sz val="10"/>
        <color theme="1"/>
        <rFont val="Arial"/>
        <family val="2"/>
      </rPr>
      <t>GC</t>
    </r>
    <r>
      <rPr>
        <b/>
        <vertAlign val="subscript"/>
        <sz val="10"/>
        <color theme="1"/>
        <rFont val="Arial"/>
        <family val="2"/>
      </rPr>
      <t>p</t>
    </r>
    <r>
      <rPr>
        <b/>
        <sz val="10"/>
        <color theme="1"/>
        <rFont val="Arial"/>
        <family val="2"/>
      </rPr>
      <t xml:space="preserve"> - q</t>
    </r>
    <r>
      <rPr>
        <b/>
        <vertAlign val="subscript"/>
        <sz val="10"/>
        <color theme="1"/>
        <rFont val="Arial"/>
        <family val="2"/>
      </rPr>
      <t>i</t>
    </r>
    <r>
      <rPr>
        <b/>
        <sz val="10"/>
        <color theme="1"/>
        <rFont val="Arial"/>
        <family val="2"/>
      </rPr>
      <t>(GC</t>
    </r>
    <r>
      <rPr>
        <b/>
        <vertAlign val="subscript"/>
        <sz val="10"/>
        <color theme="1"/>
        <rFont val="Arial"/>
        <family val="2"/>
      </rPr>
      <t>pi</t>
    </r>
    <r>
      <rPr>
        <b/>
        <sz val="10"/>
        <color theme="1"/>
        <rFont val="Arial"/>
        <family val="2"/>
      </rPr>
      <t>)</t>
    </r>
  </si>
  <si>
    <t>[ASCE 7-10 EQ. 27.4-1]</t>
  </si>
  <si>
    <r>
      <t>q</t>
    </r>
    <r>
      <rPr>
        <vertAlign val="subscript"/>
        <sz val="10"/>
        <color theme="1"/>
        <rFont val="Arial"/>
        <family val="2"/>
      </rPr>
      <t>h</t>
    </r>
    <r>
      <rPr>
        <sz val="10"/>
        <rFont val="Arial"/>
        <family val="2"/>
      </rPr>
      <t xml:space="preserve"> = 0.00256K</t>
    </r>
    <r>
      <rPr>
        <vertAlign val="subscript"/>
        <sz val="10"/>
        <color theme="1"/>
        <rFont val="Arial"/>
        <family val="2"/>
      </rPr>
      <t>h</t>
    </r>
    <r>
      <rPr>
        <sz val="10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zt</t>
    </r>
    <r>
      <rPr>
        <sz val="10"/>
        <rFont val="Arial"/>
        <family val="2"/>
      </rPr>
      <t>K</t>
    </r>
    <r>
      <rPr>
        <vertAlign val="subscript"/>
        <sz val="10"/>
        <color theme="1"/>
        <rFont val="Arial"/>
        <family val="2"/>
      </rPr>
      <t>d</t>
    </r>
    <r>
      <rPr>
        <sz val="10"/>
        <rFont val="Arial"/>
        <family val="2"/>
      </rPr>
      <t>V</t>
    </r>
    <r>
      <rPr>
        <vertAlign val="superscript"/>
        <sz val="10"/>
        <color theme="1"/>
        <rFont val="Arial"/>
        <family val="2"/>
      </rPr>
      <t>2</t>
    </r>
  </si>
  <si>
    <t>[ASCE 7-10 EQ. 27.3-1]</t>
  </si>
  <si>
    <r>
      <t>K</t>
    </r>
    <r>
      <rPr>
        <vertAlign val="subscript"/>
        <sz val="10"/>
        <color theme="1"/>
        <rFont val="Arial"/>
        <family val="2"/>
      </rPr>
      <t>h</t>
    </r>
    <r>
      <rPr>
        <sz val="10"/>
        <rFont val="Arial"/>
        <family val="2"/>
      </rPr>
      <t xml:space="preserve"> =</t>
    </r>
  </si>
  <si>
    <t>[ASCE 7-10 TABLE 27.3-1]</t>
  </si>
  <si>
    <r>
      <t>K</t>
    </r>
    <r>
      <rPr>
        <vertAlign val="subscript"/>
        <sz val="10"/>
        <color theme="1"/>
        <rFont val="Arial"/>
        <family val="2"/>
      </rPr>
      <t>zt</t>
    </r>
    <r>
      <rPr>
        <sz val="10"/>
        <rFont val="Arial"/>
        <family val="2"/>
      </rPr>
      <t xml:space="preserve"> =</t>
    </r>
  </si>
  <si>
    <t>[ASCE 7-10 Sec. 26.8.2]</t>
  </si>
  <si>
    <r>
      <t>K</t>
    </r>
    <r>
      <rPr>
        <vertAlign val="subscript"/>
        <sz val="10"/>
        <color theme="1"/>
        <rFont val="Arial"/>
        <family val="2"/>
      </rPr>
      <t>d</t>
    </r>
    <r>
      <rPr>
        <sz val="10"/>
        <rFont val="Arial"/>
        <family val="2"/>
      </rPr>
      <t xml:space="preserve"> =</t>
    </r>
  </si>
  <si>
    <t>[ASCE 7-10 TABLE 26.6-1]</t>
  </si>
  <si>
    <r>
      <t>q</t>
    </r>
    <r>
      <rPr>
        <vertAlign val="subscript"/>
        <sz val="10"/>
        <color theme="1"/>
        <rFont val="Arial"/>
        <family val="2"/>
      </rPr>
      <t>h</t>
    </r>
    <r>
      <rPr>
        <sz val="10"/>
        <rFont val="Arial"/>
        <family val="2"/>
      </rPr>
      <t xml:space="preserve"> =</t>
    </r>
  </si>
  <si>
    <t>G =</t>
  </si>
  <si>
    <t>[ASCE 7-10 SEC. 26.9.1]</t>
  </si>
  <si>
    <r>
      <t>C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=</t>
    </r>
  </si>
  <si>
    <t>[ASCE 7-10 FIG. 27.4-1]</t>
  </si>
  <si>
    <t>GCpi =</t>
  </si>
  <si>
    <t>[ASCE 7-10 TABLE 26.11-1]</t>
  </si>
  <si>
    <t>P =</t>
  </si>
  <si>
    <t>Seismic Factor</t>
  </si>
  <si>
    <t>ASCE 7-10 Eq. 12.8-2</t>
  </si>
  <si>
    <t>ASCE 7-10 Eq. 12.8-6</t>
  </si>
  <si>
    <t>Check When S1 ≥ 0.6</t>
  </si>
  <si>
    <t>Factor Values</t>
  </si>
  <si>
    <r>
      <t>S</t>
    </r>
    <r>
      <rPr>
        <vertAlign val="subscript"/>
        <sz val="10"/>
        <rFont val="Arial"/>
        <family val="2"/>
      </rPr>
      <t>DS=</t>
    </r>
  </si>
  <si>
    <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</si>
  <si>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t>R=</t>
  </si>
  <si>
    <t>ASCE 7-10 Table 12.2-1</t>
  </si>
  <si>
    <t>I=</t>
  </si>
  <si>
    <t>ASCE 7-10 Table 11.5-1</t>
  </si>
  <si>
    <r>
      <t>C</t>
    </r>
    <r>
      <rPr>
        <vertAlign val="subscript"/>
        <sz val="10"/>
        <rFont val="Arial"/>
        <family val="2"/>
      </rPr>
      <t>smin</t>
    </r>
    <r>
      <rPr>
        <sz val="10"/>
        <rFont val="Arial"/>
        <family val="2"/>
      </rPr>
      <t>=</t>
    </r>
  </si>
  <si>
    <r>
      <t>C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</t>
    </r>
  </si>
  <si>
    <t>Design Cat.=</t>
  </si>
  <si>
    <t>[ASCE 7-10 11.6]</t>
  </si>
  <si>
    <r>
      <t>Ω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=</t>
    </r>
  </si>
  <si>
    <t>May be Reduced 1/2 point for Structures with Flexible Diaphragms</t>
  </si>
  <si>
    <r>
      <t>C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=</t>
    </r>
  </si>
  <si>
    <t>Weights</t>
  </si>
  <si>
    <t>(Type 1)</t>
  </si>
  <si>
    <t>Roof Weight (psf) (Type 1)</t>
  </si>
  <si>
    <t>Ceiling Weight (psf)</t>
  </si>
  <si>
    <t>Wood Wall Weight (psf)</t>
  </si>
  <si>
    <t>built-up roof=</t>
  </si>
  <si>
    <t>5/8" Gyp=</t>
  </si>
  <si>
    <t>5/8" GYP. BD.=</t>
  </si>
  <si>
    <t>1/2"shtg=</t>
  </si>
  <si>
    <t>11.875" Red-I90 =</t>
  </si>
  <si>
    <t>insul=</t>
  </si>
  <si>
    <t>Sprinklers=</t>
  </si>
  <si>
    <t>Total=</t>
  </si>
  <si>
    <t>Misc=</t>
  </si>
  <si>
    <t>Solar Panels=</t>
  </si>
  <si>
    <t>Wood Floor Weight (psf)</t>
  </si>
  <si>
    <t>(Type 2)</t>
  </si>
  <si>
    <t>CMU Wall Weight (psf)</t>
  </si>
  <si>
    <t>Roof Weight (psf) (Type 2)</t>
  </si>
  <si>
    <t>16" Red-I90 =</t>
  </si>
  <si>
    <t>8" solid-grout=</t>
  </si>
  <si>
    <t>metal roof=</t>
  </si>
  <si>
    <t>3/4"shtg=</t>
  </si>
  <si>
    <t>(Type 3)</t>
  </si>
  <si>
    <t>CMU Wall w/ Thin Veneer (psf)</t>
  </si>
  <si>
    <t>Ceiling</t>
  </si>
  <si>
    <t>thin brick veneer=</t>
  </si>
  <si>
    <t>CEILING LL=</t>
  </si>
  <si>
    <t>SNOW=</t>
  </si>
  <si>
    <t xml:space="preserve"> ROOF LL=</t>
  </si>
  <si>
    <t>Office Building</t>
  </si>
  <si>
    <t>(Type 4)</t>
  </si>
  <si>
    <t>non-reducible</t>
  </si>
  <si>
    <t>FLOOR LL=</t>
  </si>
  <si>
    <t>CMU Wall w/ Brick Veneer (psf)</t>
  </si>
  <si>
    <t>CORRIDORS LL=</t>
  </si>
  <si>
    <t>Interial Wind</t>
  </si>
  <si>
    <t>face brick veneer=</t>
  </si>
  <si>
    <t>Wall Height</t>
  </si>
  <si>
    <r>
      <t>Lateral Forces (V</t>
    </r>
    <r>
      <rPr>
        <b/>
        <u/>
        <vertAlign val="subscript"/>
        <sz val="11"/>
        <rFont val="Arial"/>
        <family val="2"/>
      </rPr>
      <t xml:space="preserve">s </t>
    </r>
    <r>
      <rPr>
        <b/>
        <u/>
        <sz val="11"/>
        <rFont val="Arial"/>
        <family val="2"/>
      </rPr>
      <t>/</t>
    </r>
    <r>
      <rPr>
        <b/>
        <u/>
        <vertAlign val="subscript"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V</t>
    </r>
    <r>
      <rPr>
        <b/>
        <u/>
        <vertAlign val="subscript"/>
        <sz val="11"/>
        <rFont val="Arial"/>
        <family val="2"/>
      </rPr>
      <t>w</t>
    </r>
    <r>
      <rPr>
        <b/>
        <u/>
        <sz val="11"/>
        <rFont val="Arial"/>
        <family val="2"/>
      </rPr>
      <t>)</t>
    </r>
  </si>
  <si>
    <t>Grid</t>
  </si>
  <si>
    <t>Seismic</t>
  </si>
  <si>
    <t>Wind (Internal Pressure)</t>
  </si>
  <si>
    <r>
      <t>F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STORY FORCES (wall A)</t>
    </r>
  </si>
  <si>
    <r>
      <t>A</t>
    </r>
    <r>
      <rPr>
        <b/>
        <vertAlign val="subscript"/>
        <sz val="10"/>
        <rFont val="Arial"/>
        <family val="2"/>
      </rPr>
      <t>dia.</t>
    </r>
    <r>
      <rPr>
        <b/>
        <sz val="10"/>
        <rFont val="Arial"/>
        <family val="2"/>
      </rPr>
      <t xml:space="preserve"> (sf)</t>
    </r>
  </si>
  <si>
    <r>
      <t>A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 xml:space="preserve"> (sf)</t>
    </r>
  </si>
  <si>
    <r>
      <t>W</t>
    </r>
    <r>
      <rPr>
        <vertAlign val="subscript"/>
        <sz val="10"/>
        <rFont val="Arial"/>
        <family val="2"/>
      </rPr>
      <t>trib</t>
    </r>
    <r>
      <rPr>
        <sz val="10"/>
        <rFont val="Arial"/>
        <family val="2"/>
      </rPr>
      <t xml:space="preserve"> (lbs)</t>
    </r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</si>
  <si>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=0.7C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W (lbs)</t>
    </r>
  </si>
  <si>
    <r>
      <t>L</t>
    </r>
    <r>
      <rPr>
        <vertAlign val="subscript"/>
        <sz val="10"/>
        <rFont val="Arial"/>
        <family val="2"/>
      </rPr>
      <t>trib</t>
    </r>
    <r>
      <rPr>
        <sz val="10"/>
        <rFont val="Arial"/>
        <family val="2"/>
      </rPr>
      <t xml:space="preserve"> (ft)</t>
    </r>
  </si>
  <si>
    <r>
      <t>V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(lbs)</t>
    </r>
  </si>
  <si>
    <t xml:space="preserve">Story </t>
  </si>
  <si>
    <t>Height</t>
  </si>
  <si>
    <t>Weight</t>
  </si>
  <si>
    <r>
      <t>F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Coef.</t>
    </r>
  </si>
  <si>
    <t>Story Force</t>
  </si>
  <si>
    <t>Story Shear</t>
  </si>
  <si>
    <t>A-2nd flr</t>
  </si>
  <si>
    <r>
      <t>h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(ft)</t>
    </r>
  </si>
  <si>
    <r>
      <t>w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(lbs)</t>
    </r>
  </si>
  <si>
    <r>
      <t>w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x</t>
    </r>
  </si>
  <si>
    <r>
      <t>((w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/Σw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</t>
    </r>
  </si>
  <si>
    <r>
      <t xml:space="preserve"> F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=(F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Coef.)V</t>
    </r>
  </si>
  <si>
    <r>
      <t>V</t>
    </r>
    <r>
      <rPr>
        <vertAlign val="subscript"/>
        <sz val="10"/>
        <rFont val="Arial"/>
        <family val="2"/>
      </rPr>
      <t>x</t>
    </r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</si>
  <si>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=0.7V</t>
    </r>
    <r>
      <rPr>
        <vertAlign val="subscript"/>
        <sz val="10"/>
        <rFont val="Arial"/>
        <family val="2"/>
      </rPr>
      <t>x</t>
    </r>
  </si>
  <si>
    <t>A-1st flr</t>
  </si>
  <si>
    <t>A @ 10' walls</t>
  </si>
  <si>
    <t>B-1st flr</t>
  </si>
  <si>
    <t>B</t>
  </si>
  <si>
    <t>C-2nd flr</t>
  </si>
  <si>
    <t>Σ</t>
  </si>
  <si>
    <r>
      <t>V =C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W= 0.112W =</t>
    </r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</si>
  <si>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=0.7V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=</t>
    </r>
  </si>
  <si>
    <t>C-1st flr</t>
  </si>
  <si>
    <t>C @ 10' walls</t>
  </si>
  <si>
    <t>D-2nd flr</t>
  </si>
  <si>
    <t>D-1st flr</t>
  </si>
  <si>
    <t>D @ 10' walls</t>
  </si>
  <si>
    <t>E-2nd flr</t>
  </si>
  <si>
    <t>E-1st flr</t>
  </si>
  <si>
    <t>D&amp;E @ Stairs</t>
  </si>
  <si>
    <t>F-2nd flr</t>
  </si>
  <si>
    <t>F-1st flr</t>
  </si>
  <si>
    <t>G-2nd flr</t>
  </si>
  <si>
    <t>G-1st flr</t>
  </si>
  <si>
    <t>G @ 10' walls</t>
  </si>
  <si>
    <t>1-2nd flr</t>
  </si>
  <si>
    <t>1-1st flr</t>
  </si>
  <si>
    <t>4-roof</t>
  </si>
  <si>
    <t>4-floor</t>
  </si>
  <si>
    <t>5-roof</t>
  </si>
  <si>
    <t>5-floor</t>
  </si>
  <si>
    <t>-</t>
  </si>
  <si>
    <t>Redundancy check  for Seismic Category D</t>
  </si>
  <si>
    <t>ASCE 7-10 Section 12.3.4.2.b</t>
  </si>
  <si>
    <t>shear wall length</t>
  </si>
  <si>
    <t>2*Ls/ht &gt; 2</t>
  </si>
  <si>
    <t>ht</t>
  </si>
  <si>
    <t>check</t>
  </si>
  <si>
    <t>ρ</t>
  </si>
  <si>
    <r>
      <t>V</t>
    </r>
    <r>
      <rPr>
        <vertAlign val="subscript"/>
        <sz val="10"/>
        <rFont val="Arial"/>
        <family val="2"/>
      </rPr>
      <t>s</t>
    </r>
  </si>
  <si>
    <r>
      <t>V</t>
    </r>
    <r>
      <rPr>
        <vertAlign val="subscript"/>
        <sz val="10"/>
        <rFont val="Arial"/>
        <family val="2"/>
      </rPr>
      <t>w</t>
    </r>
  </si>
  <si>
    <t>Story Drift Limit</t>
  </si>
  <si>
    <r>
      <t>Δ ≤ Δ</t>
    </r>
    <r>
      <rPr>
        <b/>
        <vertAlign val="subscript"/>
        <sz val="10"/>
        <rFont val="Arial"/>
        <family val="2"/>
      </rPr>
      <t>a</t>
    </r>
  </si>
  <si>
    <t>[ASCE 7-05 12.12.1]</t>
  </si>
  <si>
    <r>
      <rPr>
        <i/>
        <sz val="10"/>
        <rFont val="Arial"/>
        <family val="2"/>
      </rPr>
      <t>h</t>
    </r>
    <r>
      <rPr>
        <i/>
        <vertAlign val="subscript"/>
        <sz val="10"/>
        <rFont val="Arial"/>
        <family val="2"/>
      </rPr>
      <t>sx</t>
    </r>
    <r>
      <rPr>
        <sz val="10"/>
        <rFont val="Arial"/>
        <family val="2"/>
      </rPr>
      <t>=</t>
    </r>
  </si>
  <si>
    <t>[ASCE 7-05 TABLE 12.2-1]</t>
  </si>
  <si>
    <r>
      <t>Δ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</si>
  <si>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>Δ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 0.020</t>
    </r>
    <r>
      <rPr>
        <i/>
        <sz val="10"/>
        <rFont val="Arial"/>
        <family val="2"/>
      </rPr>
      <t>h</t>
    </r>
    <r>
      <rPr>
        <i/>
        <vertAlign val="subscript"/>
        <sz val="10"/>
        <rFont val="Arial"/>
        <family val="2"/>
      </rPr>
      <t>sx</t>
    </r>
  </si>
  <si>
    <t>[ASCE 7-05 TABLE 12.12-1]</t>
  </si>
  <si>
    <r>
      <rPr>
        <sz val="10"/>
        <rFont val="Times New Roman"/>
        <family val="1"/>
      </rPr>
      <t>δ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= C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Δ</t>
    </r>
    <r>
      <rPr>
        <vertAlign val="subscript"/>
        <sz val="10"/>
        <rFont val="Arial"/>
        <family val="2"/>
      </rPr>
      <t>s</t>
    </r>
  </si>
  <si>
    <t>[ASCE 7-05 12.8.6]</t>
  </si>
  <si>
    <r>
      <t>d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</si>
  <si>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 xml:space="preserve">(anchorage slip; use greatest </t>
    </r>
    <r>
      <rPr>
        <sz val="8"/>
        <rFont val="Calibri"/>
        <family val="2"/>
      </rPr>
      <t>Δ</t>
    </r>
    <r>
      <rPr>
        <vertAlign val="subscript"/>
        <sz val="8"/>
        <rFont val="Calibri"/>
        <family val="2"/>
      </rPr>
      <t>all</t>
    </r>
    <r>
      <rPr>
        <sz val="8"/>
        <rFont val="Calibri"/>
        <family val="2"/>
      </rPr>
      <t xml:space="preserve">  from Table, </t>
    </r>
    <r>
      <rPr>
        <sz val="8"/>
        <rFont val="Arial"/>
        <family val="2"/>
      </rPr>
      <t>depending on which anchors are used)</t>
    </r>
  </si>
  <si>
    <t>E=</t>
  </si>
  <si>
    <t>psi</t>
  </si>
  <si>
    <t>A=</t>
  </si>
  <si>
    <r>
      <t>cross-sectional Area for 2x</t>
    </r>
    <r>
      <rPr>
        <sz val="8"/>
        <color indexed="10"/>
        <rFont val="Arial"/>
        <family val="2"/>
      </rPr>
      <t>4</t>
    </r>
    <r>
      <rPr>
        <sz val="8"/>
        <rFont val="Arial"/>
        <family val="2"/>
      </rPr>
      <t xml:space="preserve"> studs</t>
    </r>
  </si>
  <si>
    <r>
      <rPr>
        <sz val="10"/>
        <rFont val="Arial"/>
        <family val="2"/>
      </rPr>
      <t>v</t>
    </r>
    <r>
      <rPr>
        <vertAlign val="subscript"/>
        <sz val="10"/>
        <rFont val="Arial"/>
        <family val="2"/>
      </rPr>
      <t xml:space="preserve">u </t>
    </r>
    <r>
      <rPr>
        <sz val="10"/>
        <rFont val="Arial"/>
        <family val="2"/>
      </rPr>
      <t>(lb/ft)</t>
    </r>
  </si>
  <si>
    <t>S.W.</t>
  </si>
  <si>
    <t>Nail Size (d)</t>
  </si>
  <si>
    <t>Nail Spacing Along Panel Edges (in. o.c.)</t>
  </si>
  <si>
    <t>Struct I. Panels?      (Y or N)</t>
  </si>
  <si>
    <r>
      <t>Gt [</t>
    </r>
    <r>
      <rPr>
        <sz val="8"/>
        <rFont val="Arial"/>
        <family val="2"/>
      </rPr>
      <t>CBC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TABLE 2305.2.2(2)</t>
    </r>
    <r>
      <rPr>
        <sz val="10"/>
        <rFont val="Arial"/>
        <family val="2"/>
      </rPr>
      <t>] (lb/in)</t>
    </r>
  </si>
  <si>
    <t>Δb (in)</t>
  </si>
  <si>
    <t>Δv(in)</t>
  </si>
  <si>
    <t>Δn (in)</t>
  </si>
  <si>
    <t>Δa (in)</t>
  </si>
  <si>
    <r>
      <t>Δ</t>
    </r>
    <r>
      <rPr>
        <vertAlign val="subscript"/>
        <sz val="10"/>
        <rFont val="Arial"/>
        <family val="2"/>
      </rPr>
      <t xml:space="preserve">s </t>
    </r>
    <r>
      <rPr>
        <sz val="10"/>
        <rFont val="Arial"/>
        <family val="2"/>
      </rPr>
      <t>(in)</t>
    </r>
  </si>
  <si>
    <t>Design Story Drift Δ (in)</t>
  </si>
  <si>
    <r>
      <t xml:space="preserve">Δ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Δ</t>
    </r>
    <r>
      <rPr>
        <vertAlign val="subscript"/>
        <sz val="10"/>
        <rFont val="Arial"/>
        <family val="2"/>
      </rPr>
      <t>a</t>
    </r>
  </si>
  <si>
    <r>
      <t>(V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(lb/nail)</t>
    </r>
  </si>
  <si>
    <r>
      <t>Nail Deformation (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n</t>
    </r>
    <r>
      <rPr>
        <i/>
        <sz val="10"/>
        <rFont val="Arial"/>
        <family val="2"/>
      </rPr>
      <t>)</t>
    </r>
  </si>
  <si>
    <t>Y</t>
  </si>
  <si>
    <t>SHEARWALL SCHEDULE</t>
  </si>
  <si>
    <t>15/32" STRUCT I Panel</t>
  </si>
  <si>
    <t>SHEAR WALL</t>
  </si>
  <si>
    <t>NAILS</t>
  </si>
  <si>
    <t>NAILING</t>
  </si>
  <si>
    <t>SHEAR (LB/FT)</t>
  </si>
  <si>
    <t>HOLDOWN</t>
  </si>
  <si>
    <t>ANCHOR</t>
  </si>
  <si>
    <t>LOAD</t>
  </si>
  <si>
    <t>connector</t>
  </si>
  <si>
    <t>allowable</t>
  </si>
  <si>
    <t>LTT20B</t>
  </si>
  <si>
    <t>SB5/8x24</t>
  </si>
  <si>
    <t>load ea.</t>
  </si>
  <si>
    <t>HTT4</t>
  </si>
  <si>
    <t>A34</t>
  </si>
  <si>
    <t>HTT5</t>
  </si>
  <si>
    <t>A35</t>
  </si>
  <si>
    <t>HDU2</t>
  </si>
  <si>
    <t>LTP4</t>
  </si>
  <si>
    <t>HDU4</t>
  </si>
  <si>
    <t>H1</t>
  </si>
  <si>
    <t>HDU5</t>
  </si>
  <si>
    <t>H2.5</t>
  </si>
  <si>
    <t>HDU8</t>
  </si>
  <si>
    <t>SB7/8x24</t>
  </si>
  <si>
    <t>H16</t>
  </si>
  <si>
    <t>HDQ8</t>
  </si>
  <si>
    <t>MTS30</t>
  </si>
  <si>
    <t>5/8 A.B.</t>
  </si>
  <si>
    <t>W</t>
  </si>
  <si>
    <t>(D1)</t>
  </si>
  <si>
    <t>(H)</t>
  </si>
  <si>
    <t>T/C</t>
  </si>
  <si>
    <t>Z*(p/8D)</t>
  </si>
  <si>
    <t>adjusted</t>
  </si>
  <si>
    <r>
      <t>V</t>
    </r>
    <r>
      <rPr>
        <vertAlign val="subscript"/>
        <sz val="10"/>
        <rFont val="Arial"/>
        <family val="2"/>
      </rPr>
      <t>Wind</t>
    </r>
  </si>
  <si>
    <t>Cantilevered Column Timber Frames</t>
  </si>
  <si>
    <t>PARTIALLY ENCLOSED BUILDING</t>
  </si>
  <si>
    <t>2x6 @ 24" =</t>
  </si>
  <si>
    <t>2x8 @ 24" =</t>
  </si>
  <si>
    <t>T-Straps and L-Straps installed in pairs</t>
  </si>
  <si>
    <t>USGS (Sheet attached)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</si>
</sst>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(* #,##0.00_);_(* \(#,##0.00\);_(* &quot;-&quot;??_);_(@_)"/>
    <numFmt numFmtId="164" formatCode="#\ &quot;lbs&quot;"/>
    <numFmt numFmtId="165" formatCode="#.0\ \f\t"/>
    <numFmt numFmtId="166" formatCode="0\ &quot;lb&quot;"/>
    <numFmt numFmtId="167" formatCode="0.00\ \f\t"/>
    <numFmt numFmtId="168" formatCode="#&quot;in&quot;"/>
    <numFmt numFmtId="169" formatCode="#.0&quot;in&quot;"/>
    <numFmt numFmtId="170" formatCode="0\ &quot;mph&quot;"/>
    <numFmt numFmtId="171" formatCode="0.0"/>
    <numFmt numFmtId="172" formatCode="0.0\ \f\t"/>
    <numFmt numFmtId="173" formatCode="0.00\ &quot;psf&quot;"/>
    <numFmt numFmtId="174" formatCode="0.0000"/>
    <numFmt numFmtId="175" formatCode="0\ &quot;ft-lbs&quot;"/>
    <numFmt numFmtId="176" formatCode="0.0\ &quot;kips&quot;"/>
    <numFmt numFmtId="177" formatCode="0.000"/>
    <numFmt numFmtId="178" formatCode="0.0\ &quot;psf&quot;"/>
    <numFmt numFmtId="179" formatCode="0.00\ &quot;kips&quot;"/>
    <numFmt numFmtId="180" formatCode="#.00\ &quot;in&quot;"/>
    <numFmt numFmtId="181" formatCode="0.000\ &quot;in&quot;"/>
    <numFmt numFmtId="182" formatCode="#.00\ &quot;sq in&quot;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 tint="4.9989318521683403E-2"/>
      <name val="Calibri"/>
      <family val="2"/>
      <scheme val="minor"/>
    </font>
    <font>
      <vertAlign val="subscript"/>
      <sz val="10"/>
      <name val="Arial"/>
      <family val="2"/>
    </font>
    <font>
      <sz val="10"/>
      <name val="Symap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Times New Roman"/>
      <family val="1"/>
    </font>
    <font>
      <b/>
      <u/>
      <vertAlign val="subscript"/>
      <sz val="11"/>
      <name val="Arial"/>
      <family val="2"/>
    </font>
    <font>
      <b/>
      <vertAlign val="sub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b/>
      <sz val="11"/>
      <color indexed="63"/>
      <name val="Calibri"/>
      <family val="2"/>
    </font>
    <font>
      <sz val="8"/>
      <name val="Calibri"/>
      <family val="2"/>
    </font>
    <font>
      <vertAlign val="subscript"/>
      <sz val="8"/>
      <name val="Calibri"/>
      <family val="2"/>
    </font>
    <font>
      <sz val="8"/>
      <color indexed="10"/>
      <name val="Arial"/>
      <family val="2"/>
    </font>
    <font>
      <i/>
      <sz val="11"/>
      <color indexed="23"/>
      <name val="Calibri"/>
      <family val="2"/>
    </font>
    <font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3" borderId="1" applyNumberFormat="0" applyFill="0" applyAlignment="0" applyProtection="0"/>
    <xf numFmtId="0" fontId="19" fillId="8" borderId="26" applyNumberFormat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67">
    <xf numFmtId="0" fontId="0" fillId="0" borderId="0" xfId="0"/>
    <xf numFmtId="0" fontId="1" fillId="0" borderId="0" xfId="1"/>
    <xf numFmtId="0" fontId="1" fillId="0" borderId="0" xfId="1" applyFont="1" applyAlignment="1">
      <alignment horizontal="left" vertical="top"/>
    </xf>
    <xf numFmtId="164" fontId="3" fillId="2" borderId="3" xfId="2" applyNumberForma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2" borderId="3" xfId="2" applyFill="1" applyBorder="1" applyAlignment="1">
      <alignment horizontal="center"/>
    </xf>
    <xf numFmtId="0" fontId="1" fillId="0" borderId="3" xfId="1" applyBorder="1"/>
    <xf numFmtId="0" fontId="1" fillId="0" borderId="3" xfId="1" applyBorder="1" applyAlignment="1">
      <alignment horizontal="center"/>
    </xf>
    <xf numFmtId="165" fontId="3" fillId="2" borderId="3" xfId="2" applyNumberForma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6" fontId="1" fillId="0" borderId="3" xfId="1" applyNumberFormat="1" applyBorder="1" applyAlignment="1">
      <alignment horizontal="center" vertical="center"/>
    </xf>
    <xf numFmtId="167" fontId="1" fillId="0" borderId="3" xfId="1" applyNumberForma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vertical="center"/>
    </xf>
    <xf numFmtId="166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/>
    </xf>
    <xf numFmtId="167" fontId="1" fillId="0" borderId="0" xfId="1" applyNumberFormat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3" fillId="2" borderId="3" xfId="2" applyFill="1" applyBorder="1" applyAlignment="1">
      <alignment horizontal="center" vertical="center"/>
    </xf>
    <xf numFmtId="0" fontId="0" fillId="0" borderId="0" xfId="0" applyAlignment="1">
      <alignment horizontal="right"/>
    </xf>
    <xf numFmtId="167" fontId="3" fillId="2" borderId="3" xfId="2" applyNumberForma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1" fillId="0" borderId="14" xfId="0" applyFont="1" applyBorder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3" xfId="0" applyFont="1" applyBorder="1"/>
    <xf numFmtId="0" fontId="0" fillId="0" borderId="3" xfId="0" applyFill="1" applyBorder="1"/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 vertical="center"/>
    </xf>
    <xf numFmtId="170" fontId="7" fillId="0" borderId="3" xfId="0" applyNumberFormat="1" applyFont="1" applyBorder="1"/>
    <xf numFmtId="171" fontId="7" fillId="0" borderId="3" xfId="0" applyNumberFormat="1" applyFont="1" applyBorder="1"/>
    <xf numFmtId="0" fontId="0" fillId="0" borderId="0" xfId="0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172" fontId="8" fillId="0" borderId="3" xfId="0" applyNumberFormat="1" applyFont="1" applyBorder="1"/>
    <xf numFmtId="2" fontId="0" fillId="0" borderId="3" xfId="0" applyNumberFormat="1" applyBorder="1"/>
    <xf numFmtId="171" fontId="0" fillId="0" borderId="3" xfId="0" applyNumberFormat="1" applyBorder="1"/>
    <xf numFmtId="173" fontId="7" fillId="0" borderId="3" xfId="0" applyNumberFormat="1" applyFont="1" applyBorder="1"/>
    <xf numFmtId="0" fontId="7" fillId="0" borderId="3" xfId="0" applyFont="1" applyBorder="1"/>
    <xf numFmtId="2" fontId="8" fillId="0" borderId="3" xfId="0" applyNumberFormat="1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8" fillId="0" borderId="3" xfId="0" applyFont="1" applyBorder="1" applyAlignment="1"/>
    <xf numFmtId="0" fontId="1" fillId="0" borderId="0" xfId="0" applyFont="1" applyAlignment="1"/>
    <xf numFmtId="0" fontId="8" fillId="0" borderId="0" xfId="0" applyFont="1" applyAlignment="1"/>
    <xf numFmtId="173" fontId="8" fillId="4" borderId="3" xfId="0" applyNumberFormat="1" applyFont="1" applyFill="1" applyBorder="1" applyAlignment="1"/>
    <xf numFmtId="173" fontId="8" fillId="0" borderId="3" xfId="0" applyNumberFormat="1" applyFont="1" applyBorder="1" applyAlignment="1"/>
    <xf numFmtId="0" fontId="0" fillId="0" borderId="0" xfId="0" applyFill="1" applyBorder="1"/>
    <xf numFmtId="173" fontId="8" fillId="0" borderId="0" xfId="0" applyNumberFormat="1" applyFont="1" applyFill="1" applyBorder="1" applyAlignment="1"/>
    <xf numFmtId="173" fontId="8" fillId="0" borderId="0" xfId="0" applyNumberFormat="1" applyFont="1" applyBorder="1" applyAlignment="1"/>
    <xf numFmtId="1" fontId="1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0" fontId="1" fillId="5" borderId="0" xfId="0" applyFon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171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5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1" fillId="5" borderId="0" xfId="0" applyFont="1" applyFill="1" applyBorder="1"/>
    <xf numFmtId="0" fontId="0" fillId="5" borderId="0" xfId="0" applyFill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171" fontId="0" fillId="5" borderId="0" xfId="0" applyNumberForma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177" fontId="0" fillId="0" borderId="3" xfId="0" applyNumberFormat="1" applyBorder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Border="1" applyAlignment="1">
      <alignment horizontal="right"/>
    </xf>
    <xf numFmtId="177" fontId="0" fillId="5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1" fillId="6" borderId="5" xfId="0" applyFont="1" applyFill="1" applyBorder="1" applyAlignment="1">
      <alignment horizontal="right"/>
    </xf>
    <xf numFmtId="177" fontId="0" fillId="6" borderId="3" xfId="0" applyNumberFormat="1" applyFill="1" applyBorder="1" applyAlignment="1">
      <alignment horizontal="center"/>
    </xf>
    <xf numFmtId="0" fontId="0" fillId="0" borderId="3" xfId="0" applyFont="1" applyFill="1" applyBorder="1" applyAlignment="1">
      <alignment horizontal="right" vertical="center"/>
    </xf>
    <xf numFmtId="171" fontId="0" fillId="0" borderId="3" xfId="0" applyNumberFormat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3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8" fillId="0" borderId="3" xfId="0" applyFont="1" applyBorder="1"/>
    <xf numFmtId="0" fontId="0" fillId="0" borderId="0" xfId="0" applyBorder="1"/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0" fillId="0" borderId="17" xfId="0" applyBorder="1" applyAlignment="1">
      <alignment horizontal="right"/>
    </xf>
    <xf numFmtId="178" fontId="0" fillId="7" borderId="18" xfId="0" applyNumberFormat="1" applyFill="1" applyBorder="1" applyAlignment="1">
      <alignment horizontal="center"/>
    </xf>
    <xf numFmtId="171" fontId="0" fillId="0" borderId="16" xfId="0" applyNumberFormat="1" applyBorder="1" applyAlignment="1">
      <alignment horizontal="center"/>
    </xf>
    <xf numFmtId="0" fontId="1" fillId="0" borderId="0" xfId="0" applyFont="1" applyFill="1" applyBorder="1"/>
    <xf numFmtId="0" fontId="0" fillId="5" borderId="0" xfId="0" applyFill="1" applyBorder="1" applyAlignment="1"/>
    <xf numFmtId="0" fontId="1" fillId="0" borderId="16" xfId="0" applyFont="1" applyBorder="1"/>
    <xf numFmtId="0" fontId="0" fillId="0" borderId="10" xfId="0" applyBorder="1"/>
    <xf numFmtId="0" fontId="1" fillId="0" borderId="10" xfId="0" applyFont="1" applyBorder="1" applyAlignment="1"/>
    <xf numFmtId="0" fontId="1" fillId="0" borderId="19" xfId="0" applyFont="1" applyBorder="1" applyAlignment="1"/>
    <xf numFmtId="0" fontId="0" fillId="5" borderId="0" xfId="0" applyFill="1" applyAlignment="1"/>
    <xf numFmtId="0" fontId="0" fillId="0" borderId="14" xfId="0" applyBorder="1" applyAlignment="1">
      <alignment horizontal="right"/>
    </xf>
    <xf numFmtId="178" fontId="0" fillId="7" borderId="20" xfId="0" applyNumberFormat="1" applyFill="1" applyBorder="1" applyAlignment="1">
      <alignment horizontal="center"/>
    </xf>
    <xf numFmtId="0" fontId="0" fillId="0" borderId="21" xfId="0" applyBorder="1" applyAlignment="1">
      <alignment horizontal="right"/>
    </xf>
    <xf numFmtId="178" fontId="0" fillId="7" borderId="22" xfId="0" applyNumberFormat="1" applyFill="1" applyBorder="1" applyAlignment="1">
      <alignment horizontal="center"/>
    </xf>
    <xf numFmtId="172" fontId="0" fillId="7" borderId="18" xfId="0" applyNumberFormat="1" applyFill="1" applyBorder="1" applyAlignment="1">
      <alignment horizontal="center"/>
    </xf>
    <xf numFmtId="178" fontId="0" fillId="5" borderId="0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178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/>
    <xf numFmtId="0" fontId="5" fillId="0" borderId="0" xfId="0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left"/>
    </xf>
    <xf numFmtId="0" fontId="1" fillId="5" borderId="0" xfId="0" applyFont="1" applyFill="1" applyBorder="1" applyAlignment="1"/>
    <xf numFmtId="0" fontId="8" fillId="0" borderId="3" xfId="0" applyFont="1" applyBorder="1" applyAlignment="1">
      <alignment horizontal="center"/>
    </xf>
    <xf numFmtId="177" fontId="1" fillId="6" borderId="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1" fillId="0" borderId="16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74" fontId="0" fillId="0" borderId="23" xfId="0" applyNumberFormat="1" applyBorder="1" applyAlignment="1">
      <alignment horizontal="center"/>
    </xf>
    <xf numFmtId="171" fontId="0" fillId="0" borderId="23" xfId="0" applyNumberFormat="1" applyBorder="1" applyAlignment="1">
      <alignment horizontal="center"/>
    </xf>
    <xf numFmtId="166" fontId="0" fillId="7" borderId="23" xfId="0" applyNumberForma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75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176" fontId="0" fillId="0" borderId="6" xfId="0" applyNumberFormat="1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179" fontId="0" fillId="0" borderId="15" xfId="0" applyNumberFormat="1" applyBorder="1" applyAlignment="1">
      <alignment horizontal="left"/>
    </xf>
    <xf numFmtId="171" fontId="0" fillId="0" borderId="3" xfId="0" applyNumberFormat="1" applyFill="1" applyBorder="1" applyAlignment="1">
      <alignment horizontal="center"/>
    </xf>
    <xf numFmtId="2" fontId="1" fillId="0" borderId="3" xfId="0" quotePrefix="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8" fillId="5" borderId="0" xfId="0" applyFont="1" applyFill="1"/>
    <xf numFmtId="0" fontId="0" fillId="0" borderId="3" xfId="0" applyBorder="1" applyAlignment="1">
      <alignment horizontal="center"/>
    </xf>
    <xf numFmtId="177" fontId="1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6" fillId="0" borderId="0" xfId="0" applyFont="1"/>
    <xf numFmtId="165" fontId="0" fillId="0" borderId="3" xfId="0" applyNumberFormat="1" applyBorder="1" applyAlignment="1">
      <alignment horizontal="center"/>
    </xf>
    <xf numFmtId="0" fontId="19" fillId="8" borderId="26" xfId="3" applyNumberFormat="1" applyAlignment="1">
      <alignment horizontal="center"/>
    </xf>
    <xf numFmtId="0" fontId="16" fillId="0" borderId="0" xfId="0" applyFont="1" applyAlignment="1">
      <alignment horizontal="left"/>
    </xf>
    <xf numFmtId="180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81" fontId="19" fillId="8" borderId="26" xfId="3" applyNumberFormat="1" applyAlignment="1">
      <alignment horizontal="center"/>
    </xf>
    <xf numFmtId="0" fontId="0" fillId="0" borderId="3" xfId="4" applyNumberFormat="1" applyFont="1" applyBorder="1" applyAlignment="1">
      <alignment horizontal="center"/>
    </xf>
    <xf numFmtId="182" fontId="19" fillId="8" borderId="26" xfId="3" applyNumberFormat="1" applyAlignment="1">
      <alignment horizontal="center"/>
    </xf>
    <xf numFmtId="0" fontId="16" fillId="0" borderId="7" xfId="0" applyFont="1" applyBorder="1" applyAlignment="1"/>
    <xf numFmtId="0" fontId="16" fillId="0" borderId="0" xfId="0" applyFont="1" applyAlignment="1"/>
    <xf numFmtId="0" fontId="1" fillId="0" borderId="7" xfId="0" applyFont="1" applyFill="1" applyBorder="1" applyAlignment="1">
      <alignment horizontal="right"/>
    </xf>
    <xf numFmtId="0" fontId="0" fillId="0" borderId="27" xfId="0" applyBorder="1"/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3" fillId="0" borderId="3" xfId="5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10" borderId="26" xfId="3" applyFill="1" applyAlignment="1">
      <alignment horizontal="center"/>
    </xf>
    <xf numFmtId="0" fontId="19" fillId="0" borderId="26" xfId="3" applyFill="1" applyAlignment="1">
      <alignment horizontal="center"/>
    </xf>
    <xf numFmtId="3" fontId="19" fillId="0" borderId="26" xfId="3" applyNumberFormat="1" applyFill="1" applyAlignment="1">
      <alignment horizontal="center"/>
    </xf>
    <xf numFmtId="2" fontId="23" fillId="0" borderId="3" xfId="5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" fontId="0" fillId="9" borderId="3" xfId="0" applyNumberFormat="1" applyFill="1" applyBorder="1" applyAlignment="1">
      <alignment horizontal="center"/>
    </xf>
    <xf numFmtId="174" fontId="0" fillId="9" borderId="3" xfId="0" applyNumberFormat="1" applyFill="1" applyBorder="1" applyAlignment="1">
      <alignment horizontal="center"/>
    </xf>
    <xf numFmtId="0" fontId="19" fillId="0" borderId="0" xfId="3" applyFill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19" fillId="10" borderId="28" xfId="3" applyFill="1" applyBorder="1" applyAlignment="1">
      <alignment horizontal="center"/>
    </xf>
    <xf numFmtId="0" fontId="19" fillId="0" borderId="28" xfId="3" applyFill="1" applyBorder="1" applyAlignment="1">
      <alignment horizontal="center"/>
    </xf>
    <xf numFmtId="3" fontId="19" fillId="0" borderId="28" xfId="3" applyNumberFormat="1" applyFill="1" applyBorder="1" applyAlignment="1">
      <alignment horizontal="center"/>
    </xf>
    <xf numFmtId="0" fontId="19" fillId="10" borderId="29" xfId="3" applyFill="1" applyBorder="1" applyAlignment="1">
      <alignment horizontal="center"/>
    </xf>
    <xf numFmtId="0" fontId="19" fillId="0" borderId="29" xfId="3" applyFill="1" applyBorder="1" applyAlignment="1">
      <alignment horizontal="center"/>
    </xf>
    <xf numFmtId="3" fontId="19" fillId="0" borderId="30" xfId="3" applyNumberFormat="1" applyFill="1" applyBorder="1" applyAlignment="1">
      <alignment horizontal="center"/>
    </xf>
    <xf numFmtId="0" fontId="0" fillId="0" borderId="0" xfId="0" applyBorder="1" applyAlignment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1" xfId="0" applyFont="1" applyBorder="1" applyAlignment="1">
      <alignment horizontal="right"/>
    </xf>
    <xf numFmtId="164" fontId="0" fillId="0" borderId="12" xfId="0" applyNumberFormat="1" applyBorder="1"/>
    <xf numFmtId="164" fontId="0" fillId="0" borderId="32" xfId="0" applyNumberFormat="1" applyBorder="1"/>
    <xf numFmtId="12" fontId="3" fillId="2" borderId="3" xfId="2" applyNumberFormat="1" applyFill="1" applyBorder="1" applyAlignment="1">
      <alignment vertical="center"/>
    </xf>
    <xf numFmtId="12" fontId="0" fillId="0" borderId="3" xfId="0" applyNumberFormat="1" applyBorder="1"/>
    <xf numFmtId="0" fontId="1" fillId="0" borderId="3" xfId="0" applyFont="1" applyFill="1" applyBorder="1"/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6" fillId="5" borderId="0" xfId="0" applyFont="1" applyFill="1" applyBorder="1" applyAlignment="1"/>
    <xf numFmtId="0" fontId="27" fillId="5" borderId="0" xfId="0" applyFont="1" applyFill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5" borderId="0" xfId="0" applyFont="1" applyFill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0" fillId="5" borderId="0" xfId="0" applyFill="1" applyBorder="1" applyAlignment="1">
      <alignment horizontal="center" wrapText="1" shrinkToFit="1"/>
    </xf>
    <xf numFmtId="0" fontId="0" fillId="0" borderId="0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1" fillId="0" borderId="4" xfId="1" applyFont="1" applyBorder="1" applyAlignment="1">
      <alignment horizontal="right" vertical="center"/>
    </xf>
    <xf numFmtId="0" fontId="1" fillId="0" borderId="0" xfId="1" applyFont="1" applyAlignment="1">
      <alignment horizontal="right"/>
    </xf>
    <xf numFmtId="0" fontId="1" fillId="0" borderId="5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15" xfId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6">
    <cellStyle name="Comma 2" xfId="4"/>
    <cellStyle name="Explanatory Text 2" xfId="5"/>
    <cellStyle name="Input 2" xfId="2"/>
    <cellStyle name="Normal" xfId="0" builtinId="0"/>
    <cellStyle name="Normal 2" xfId="1"/>
    <cellStyle name="Output 2" xfId="3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19</xdr:row>
          <xdr:rowOff>85725</xdr:rowOff>
        </xdr:from>
        <xdr:to>
          <xdr:col>1</xdr:col>
          <xdr:colOff>57150</xdr:colOff>
          <xdr:row>23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47625</xdr:rowOff>
        </xdr:from>
        <xdr:to>
          <xdr:col>1</xdr:col>
          <xdr:colOff>95250</xdr:colOff>
          <xdr:row>28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39</xdr:row>
      <xdr:rowOff>66675</xdr:rowOff>
    </xdr:from>
    <xdr:ext cx="894797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100-000002000000}"/>
                </a:ext>
              </a:extLst>
            </xdr:cNvPr>
            <xdr:cNvSpPr txBox="1"/>
          </xdr:nvSpPr>
          <xdr:spPr>
            <a:xfrm>
              <a:off x="4162425" y="6096000"/>
              <a:ext cx="894797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𝑉𝑥𝐻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1.414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7DF1E31-ACEA-40FE-9999-66AF71CBF1FC}"/>
                </a:ext>
              </a:extLst>
            </xdr:cNvPr>
            <xdr:cNvSpPr txBox="1"/>
          </xdr:nvSpPr>
          <xdr:spPr>
            <a:xfrm>
              <a:off x="4162425" y="6096000"/>
              <a:ext cx="894797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𝑉𝑥𝐻/</a:t>
              </a:r>
              <a:r>
                <a:rPr lang="en-US" sz="1100" b="0" i="0">
                  <a:latin typeface="Cambria Math" panose="02040503050406030204" pitchFamily="18" charset="0"/>
                </a:rPr>
                <a:t>𝐷1𝑥1.414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1</xdr:col>
      <xdr:colOff>47284</xdr:colOff>
      <xdr:row>33</xdr:row>
      <xdr:rowOff>61572</xdr:rowOff>
    </xdr:from>
    <xdr:to>
      <xdr:col>4</xdr:col>
      <xdr:colOff>51027</xdr:colOff>
      <xdr:row>45</xdr:row>
      <xdr:rowOff>6863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52" t="5772" b="6404"/>
        <a:stretch/>
      </xdr:blipFill>
      <xdr:spPr>
        <a:xfrm>
          <a:off x="659605" y="5793581"/>
          <a:ext cx="1925752" cy="1918327"/>
        </a:xfrm>
        <a:prstGeom prst="rect">
          <a:avLst/>
        </a:prstGeom>
      </xdr:spPr>
    </xdr:pic>
    <xdr:clientData/>
  </xdr:twoCellAnchor>
  <xdr:oneCellAnchor>
    <xdr:from>
      <xdr:col>6</xdr:col>
      <xdr:colOff>15988</xdr:colOff>
      <xdr:row>34</xdr:row>
      <xdr:rowOff>52388</xdr:rowOff>
    </xdr:from>
    <xdr:ext cx="1905073" cy="4527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3774961" y="5945982"/>
              <a:ext cx="1905073" cy="452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𝑊𝑝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𝑎𝑑𝑗</m:t>
                            </m:r>
                          </m:sub>
                        </m:sSub>
                      </m:num>
                      <m:den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𝑊𝑝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𝑎𝑑𝑗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×0.5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×1.6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7C7B70D-0009-4163-AA66-A9900FA9F82B}"/>
                </a:ext>
              </a:extLst>
            </xdr:cNvPr>
            <xdr:cNvSpPr txBox="1"/>
          </xdr:nvSpPr>
          <xdr:spPr>
            <a:xfrm>
              <a:off x="3774961" y="5945982"/>
              <a:ext cx="1905073" cy="452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𝑍=((𝑊𝑝)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×𝑍_𝑎𝑑𝑗)/(((</a:t>
              </a:r>
              <a:r>
                <a:rPr lang="en-US" sz="1100" b="0" i="0">
                  <a:latin typeface="Cambria Math" panose="02040503050406030204" pitchFamily="18" charset="0"/>
                </a:rPr>
                <a:t>𝑊𝑝)+𝑍_𝑎𝑑𝑗 )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×0.5)×1.6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268358</xdr:colOff>
      <xdr:row>9</xdr:row>
      <xdr:rowOff>85727</xdr:rowOff>
    </xdr:from>
    <xdr:ext cx="641009" cy="3808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SpPr txBox="1"/>
          </xdr:nvSpPr>
          <xdr:spPr>
            <a:xfrm>
              <a:off x="4011683" y="1666877"/>
              <a:ext cx="641009" cy="3808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2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𝐹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h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h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042B957-9D9B-46AA-8377-B826457C09C1}"/>
                </a:ext>
              </a:extLst>
            </xdr:cNvPr>
            <xdr:cNvSpPr txBox="1"/>
          </xdr:nvSpPr>
          <xdr:spPr>
            <a:xfrm>
              <a:off x="4011683" y="1666877"/>
              <a:ext cx="641009" cy="3808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𝑉_𝑏</a:t>
              </a:r>
              <a:r>
                <a:rPr lang="en-US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=(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𝐹ℎ_1)/ℎ_2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6</xdr:col>
      <xdr:colOff>419100</xdr:colOff>
      <xdr:row>51</xdr:row>
      <xdr:rowOff>66675</xdr:rowOff>
    </xdr:from>
    <xdr:ext cx="894797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4178073" y="6070827"/>
              <a:ext cx="894797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𝑉𝑥𝐻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1.414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C5E203B-26AD-455D-821A-1B228A90E2E0}"/>
                </a:ext>
              </a:extLst>
            </xdr:cNvPr>
            <xdr:cNvSpPr txBox="1"/>
          </xdr:nvSpPr>
          <xdr:spPr>
            <a:xfrm>
              <a:off x="4178073" y="6070827"/>
              <a:ext cx="894797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𝑉𝑥𝐻/</a:t>
              </a:r>
              <a:r>
                <a:rPr lang="en-US" sz="1100" b="0" i="0">
                  <a:latin typeface="Cambria Math" panose="02040503050406030204" pitchFamily="18" charset="0"/>
                </a:rPr>
                <a:t>𝐷1𝑥1.414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178593</xdr:colOff>
      <xdr:row>54</xdr:row>
      <xdr:rowOff>178593</xdr:rowOff>
    </xdr:from>
    <xdr:to>
      <xdr:col>2</xdr:col>
      <xdr:colOff>315753</xdr:colOff>
      <xdr:row>65</xdr:row>
      <xdr:rowOff>153420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488281" y="9303883"/>
          <a:ext cx="137160" cy="1828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276089</xdr:colOff>
      <xdr:row>53</xdr:row>
      <xdr:rowOff>153080</xdr:rowOff>
    </xdr:from>
    <xdr:to>
      <xdr:col>4</xdr:col>
      <xdr:colOff>182880</xdr:colOff>
      <xdr:row>54</xdr:row>
      <xdr:rowOff>174375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 rot="16200000">
          <a:off x="1711370" y="8293825"/>
          <a:ext cx="182880" cy="1828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238124</xdr:colOff>
      <xdr:row>54</xdr:row>
      <xdr:rowOff>8506</xdr:rowOff>
    </xdr:from>
    <xdr:to>
      <xdr:col>3</xdr:col>
      <xdr:colOff>391204</xdr:colOff>
      <xdr:row>58</xdr:row>
      <xdr:rowOff>42523</xdr:rowOff>
    </xdr:to>
    <xdr:sp macro="" textlink="">
      <xdr:nvSpPr>
        <xdr:cNvPr id="13" name="Diagonal Strip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1547812" y="9133796"/>
          <a:ext cx="765401" cy="705870"/>
        </a:xfrm>
        <a:prstGeom prst="diagStripe">
          <a:avLst>
            <a:gd name="adj" fmla="val 74638"/>
          </a:avLst>
        </a:prstGeom>
        <a:solidFill>
          <a:schemeClr val="bg2">
            <a:lumMod val="9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</xdr:col>
      <xdr:colOff>203088</xdr:colOff>
      <xdr:row>58</xdr:row>
      <xdr:rowOff>111919</xdr:rowOff>
    </xdr:from>
    <xdr:ext cx="1729897" cy="464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xmlns="" id="{00000000-0008-0000-0100-00000F000000}"/>
                </a:ext>
              </a:extLst>
            </xdr:cNvPr>
            <xdr:cNvSpPr txBox="1"/>
          </xdr:nvSpPr>
          <xdr:spPr>
            <a:xfrm>
              <a:off x="3962061" y="9909062"/>
              <a:ext cx="1729897" cy="464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m:rPr>
                                <m:nor/>
                              </m:rPr>
                              <a:rPr lang="en-US" sz="1100" b="0" i="0" u="none" strike="noStrike">
                                <a:effectLst/>
                                <a:latin typeface="Symap" panose="00000400000000000000" pitchFamily="2" charset="0"/>
                              </a:rPr>
                              <m:t>q</m:t>
                            </m:r>
                            <m:r>
                              <m:rPr>
                                <m:nor/>
                              </m:rPr>
                              <a:rPr lang="en-US"/>
                              <m:t> 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m:rPr>
                                <m:nor/>
                              </m:rPr>
                              <a:rPr lang="en-US" sz="1100" b="0" i="0" u="none" strike="noStrike">
                                <a:effectLst/>
                                <a:latin typeface="Symap" panose="00000400000000000000" pitchFamily="2" charset="0"/>
                              </a:rPr>
                              <m:t>r</m:t>
                            </m:r>
                            <m:r>
                              <m:rPr>
                                <m:nor/>
                              </m:rPr>
                              <a:rPr lang="en-US"/>
                              <m:t> </m:t>
                            </m:r>
                          </m:sub>
                        </m:sSub>
                      </m:num>
                      <m:den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m:rPr>
                                    <m:nor/>
                                  </m:rPr>
                                  <a:rPr lang="en-US" sz="1100" b="0" i="0" u="none" strike="noStrike">
                                    <a:effectLst/>
                                    <a:latin typeface="Symap" panose="00000400000000000000" pitchFamily="2" charset="0"/>
                                  </a:rPr>
                                  <m:t>q</m:t>
                                </m:r>
                                <m:r>
                                  <m:rPr>
                                    <m:nor/>
                                  </m:rPr>
                                  <a:rPr lang="en-US"/>
                                  <m:t> 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m:rPr>
                                    <m:nor/>
                                  </m:rPr>
                                  <a:rPr lang="en-US" sz="1100" b="0" i="0" u="none" strike="noStrike">
                                    <a:effectLst/>
                                    <a:latin typeface="Symap" panose="00000400000000000000" pitchFamily="2" charset="0"/>
                                  </a:rPr>
                                  <m:t>r</m:t>
                                </m:r>
                                <m:r>
                                  <m:rPr>
                                    <m:nor/>
                                  </m:rPr>
                                  <a:rPr lang="en-US"/>
                                  <m:t> 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×0.5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×1.6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9EB5ADC-945A-4BB9-8ED4-CB18754E68F9}"/>
                </a:ext>
              </a:extLst>
            </xdr:cNvPr>
            <xdr:cNvSpPr txBox="1"/>
          </xdr:nvSpPr>
          <xdr:spPr>
            <a:xfrm>
              <a:off x="3962061" y="9909062"/>
              <a:ext cx="1729897" cy="464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𝑍=(𝑍_</a:t>
              </a:r>
              <a:r>
                <a:rPr lang="en-US" sz="1100" b="0" i="0" u="none" strike="noStrike">
                  <a:effectLst/>
                  <a:latin typeface="Cambria Math" panose="02040503050406030204" pitchFamily="18" charset="0"/>
                </a:rPr>
                <a:t>"</a:t>
              </a:r>
              <a:r>
                <a:rPr lang="en-US" sz="1100" b="0" i="0" u="none" strike="noStrike">
                  <a:effectLst/>
                  <a:latin typeface="Symap" panose="00000400000000000000" pitchFamily="2" charset="0"/>
                </a:rPr>
                <a:t>q</a:t>
              </a:r>
              <a:r>
                <a:rPr lang="en-US" i="0"/>
                <a:t> </a:t>
              </a:r>
              <a:r>
                <a:rPr lang="en-US" i="0">
                  <a:latin typeface="Cambria Math" panose="02040503050406030204" pitchFamily="18" charset="0"/>
                </a:rPr>
                <a:t>"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×𝑍_</a:t>
              </a:r>
              <a:r>
                <a:rPr lang="en-US" sz="1100" b="0" i="0" u="none" strike="noStrike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r>
                <a:rPr lang="en-US" sz="1100" b="0" i="0" u="none" strike="noStrike">
                  <a:effectLst/>
                  <a:latin typeface="Symap" panose="00000400000000000000" pitchFamily="2" charset="0"/>
                </a:rPr>
                <a:t>r</a:t>
              </a:r>
              <a:r>
                <a:rPr lang="en-US" i="0"/>
                <a:t> </a:t>
              </a:r>
              <a:r>
                <a:rPr lang="en-US" i="0">
                  <a:latin typeface="Cambria Math" panose="02040503050406030204" pitchFamily="18" charset="0"/>
                </a:rPr>
                <a:t>" </a:t>
              </a:r>
              <a:r>
                <a:rPr lang="en-US" sz="1100" b="0" i="0">
                  <a:latin typeface="Cambria Math" panose="02040503050406030204" pitchFamily="18" charset="0"/>
                </a:rPr>
                <a:t>)/((𝑍_</a:t>
              </a:r>
              <a:r>
                <a:rPr lang="en-US" sz="1100" b="0" i="0" u="none" strike="noStrike">
                  <a:effectLst/>
                  <a:latin typeface="Cambria Math" panose="02040503050406030204" pitchFamily="18" charset="0"/>
                </a:rPr>
                <a:t>"</a:t>
              </a:r>
              <a:r>
                <a:rPr lang="en-US" sz="1100" b="0" i="0" u="none" strike="noStrike">
                  <a:effectLst/>
                  <a:latin typeface="Symap" panose="00000400000000000000" pitchFamily="2" charset="0"/>
                </a:rPr>
                <a:t>q</a:t>
              </a:r>
              <a:r>
                <a:rPr lang="en-US" i="0"/>
                <a:t> </a:t>
              </a:r>
              <a:r>
                <a:rPr lang="en-US" i="0">
                  <a:latin typeface="Cambria Math" panose="02040503050406030204" pitchFamily="18" charset="0"/>
                </a:rPr>
                <a:t>"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+𝑍_</a:t>
              </a:r>
              <a:r>
                <a:rPr lang="en-US" sz="1100" b="0" i="0" u="none" strike="noStrike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r>
                <a:rPr lang="en-US" sz="1100" b="0" i="0" u="none" strike="noStrike">
                  <a:effectLst/>
                  <a:latin typeface="Symap" panose="00000400000000000000" pitchFamily="2" charset="0"/>
                </a:rPr>
                <a:t>r</a:t>
              </a:r>
              <a:r>
                <a:rPr lang="en-US" i="0"/>
                <a:t> </a:t>
              </a:r>
              <a:r>
                <a:rPr lang="en-US" i="0">
                  <a:latin typeface="Cambria Math" panose="02040503050406030204" pitchFamily="18" charset="0"/>
                </a:rPr>
                <a:t>"  )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×0.5)×1.6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3</xdr:col>
      <xdr:colOff>501763</xdr:colOff>
      <xdr:row>54</xdr:row>
      <xdr:rowOff>161585</xdr:rowOff>
    </xdr:from>
    <xdr:to>
      <xdr:col>3</xdr:col>
      <xdr:colOff>501763</xdr:colOff>
      <xdr:row>58</xdr:row>
      <xdr:rowOff>1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CxnSpPr/>
      </xdr:nvCxnSpPr>
      <xdr:spPr>
        <a:xfrm flipV="1">
          <a:off x="2423772" y="9286875"/>
          <a:ext cx="0" cy="51026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450736</xdr:colOff>
      <xdr:row>57</xdr:row>
      <xdr:rowOff>144576</xdr:rowOff>
    </xdr:from>
    <xdr:to>
      <xdr:col>3</xdr:col>
      <xdr:colOff>578303</xdr:colOff>
      <xdr:row>57</xdr:row>
      <xdr:rowOff>153080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CxnSpPr/>
      </xdr:nvCxnSpPr>
      <xdr:spPr>
        <a:xfrm>
          <a:off x="1760424" y="9780134"/>
          <a:ext cx="739888" cy="85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280648</xdr:colOff>
      <xdr:row>65</xdr:row>
      <xdr:rowOff>153081</xdr:rowOff>
    </xdr:from>
    <xdr:to>
      <xdr:col>4</xdr:col>
      <xdr:colOff>51027</xdr:colOff>
      <xdr:row>66</xdr:row>
      <xdr:rowOff>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CxnSpPr/>
      </xdr:nvCxnSpPr>
      <xdr:spPr>
        <a:xfrm>
          <a:off x="892969" y="11132344"/>
          <a:ext cx="1692388" cy="85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493259</xdr:colOff>
      <xdr:row>55</xdr:row>
      <xdr:rowOff>0</xdr:rowOff>
    </xdr:from>
    <xdr:to>
      <xdr:col>1</xdr:col>
      <xdr:colOff>501764</xdr:colOff>
      <xdr:row>65</xdr:row>
      <xdr:rowOff>144576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H="1" flipV="1">
          <a:off x="1105580" y="9312388"/>
          <a:ext cx="8505" cy="181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680358</xdr:colOff>
      <xdr:row>53</xdr:row>
      <xdr:rowOff>34018</xdr:rowOff>
    </xdr:from>
    <xdr:to>
      <xdr:col>3</xdr:col>
      <xdr:colOff>34018</xdr:colOff>
      <xdr:row>53</xdr:row>
      <xdr:rowOff>34018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>
          <a:off x="1292679" y="8997723"/>
          <a:ext cx="66334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374196</xdr:colOff>
      <xdr:row>51</xdr:row>
      <xdr:rowOff>68035</xdr:rowOff>
    </xdr:from>
    <xdr:to>
      <xdr:col>4</xdr:col>
      <xdr:colOff>195603</xdr:colOff>
      <xdr:row>53</xdr:row>
      <xdr:rowOff>136074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 flipV="1">
          <a:off x="2296205" y="8708571"/>
          <a:ext cx="433728" cy="39120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Z195"/>
  <sheetViews>
    <sheetView showGridLines="0" topLeftCell="A39" zoomScaleNormal="100" zoomScaleSheetLayoutView="50" workbookViewId="0">
      <selection activeCell="N36" sqref="N35:N36"/>
    </sheetView>
  </sheetViews>
  <sheetFormatPr defaultRowHeight="12.75" x14ac:dyDescent="0.2"/>
  <cols>
    <col min="1" max="1" width="15.85546875" customWidth="1"/>
    <col min="2" max="2" width="9" customWidth="1"/>
    <col min="3" max="3" width="9.85546875" customWidth="1"/>
    <col min="4" max="4" width="15.28515625" customWidth="1"/>
    <col min="5" max="5" width="14.5703125" customWidth="1"/>
    <col min="6" max="6" width="8.7109375" customWidth="1"/>
    <col min="7" max="7" width="13.28515625" customWidth="1"/>
    <col min="8" max="8" width="13.140625" customWidth="1"/>
    <col min="9" max="9" width="7.28515625" hidden="1" customWidth="1"/>
    <col min="10" max="11" width="6" hidden="1" customWidth="1"/>
    <col min="12" max="12" width="7.28515625" hidden="1" customWidth="1"/>
    <col min="13" max="13" width="12.140625" customWidth="1"/>
    <col min="16" max="16" width="11.28515625" style="45" customWidth="1"/>
    <col min="17" max="17" width="10.5703125" bestFit="1" customWidth="1"/>
    <col min="18" max="18" width="6" bestFit="1" customWidth="1"/>
    <col min="19" max="19" width="6.28515625" bestFit="1" customWidth="1"/>
    <col min="20" max="20" width="7.140625" bestFit="1" customWidth="1"/>
    <col min="21" max="21" width="11.5703125" bestFit="1" customWidth="1"/>
    <col min="22" max="22" width="16.85546875" bestFit="1" customWidth="1"/>
    <col min="23" max="23" width="14.5703125" bestFit="1" customWidth="1"/>
    <col min="24" max="24" width="9.85546875" bestFit="1" customWidth="1"/>
    <col min="25" max="25" width="8.7109375" bestFit="1" customWidth="1"/>
    <col min="30" max="30" width="11.5703125" bestFit="1" customWidth="1"/>
    <col min="31" max="31" width="16.85546875" bestFit="1" customWidth="1"/>
    <col min="32" max="32" width="14.5703125" bestFit="1" customWidth="1"/>
    <col min="33" max="33" width="10.5703125" bestFit="1" customWidth="1"/>
  </cols>
  <sheetData>
    <row r="1" spans="1:26" ht="15" x14ac:dyDescent="0.25">
      <c r="A1" s="42" t="s">
        <v>62</v>
      </c>
      <c r="B1" s="42"/>
      <c r="C1" s="43" t="s">
        <v>275</v>
      </c>
      <c r="M1" s="44"/>
      <c r="X1" s="44"/>
      <c r="Y1" s="44"/>
      <c r="Z1" s="44"/>
    </row>
    <row r="2" spans="1:26" x14ac:dyDescent="0.2">
      <c r="B2" s="25" t="s">
        <v>63</v>
      </c>
      <c r="C2" s="46">
        <v>110</v>
      </c>
      <c r="M2" s="44"/>
      <c r="X2" s="44"/>
      <c r="Y2" s="44"/>
      <c r="Z2" s="44"/>
    </row>
    <row r="3" spans="1:26" ht="14.25" customHeight="1" x14ac:dyDescent="0.2">
      <c r="B3" s="25" t="s">
        <v>64</v>
      </c>
      <c r="C3" s="47">
        <v>1</v>
      </c>
      <c r="M3" s="44"/>
      <c r="X3" s="44"/>
      <c r="Y3" s="44"/>
      <c r="Z3" s="44"/>
    </row>
    <row r="4" spans="1:26" x14ac:dyDescent="0.2">
      <c r="B4" s="48" t="s">
        <v>65</v>
      </c>
      <c r="C4" s="49" t="s">
        <v>66</v>
      </c>
      <c r="M4" s="44"/>
      <c r="Y4" s="44"/>
      <c r="Z4" s="44"/>
    </row>
    <row r="5" spans="1:26" x14ac:dyDescent="0.2">
      <c r="B5" s="48" t="s">
        <v>67</v>
      </c>
      <c r="C5" s="50">
        <v>10</v>
      </c>
      <c r="M5" s="44"/>
      <c r="Y5" s="44"/>
      <c r="Z5" s="44"/>
    </row>
    <row r="6" spans="1:26" x14ac:dyDescent="0.2">
      <c r="M6" s="44"/>
      <c r="Y6" s="44"/>
      <c r="Z6" s="44"/>
    </row>
    <row r="7" spans="1:26" ht="14.25" x14ac:dyDescent="0.25">
      <c r="B7" s="43" t="s">
        <v>68</v>
      </c>
      <c r="G7" s="23" t="s">
        <v>69</v>
      </c>
      <c r="M7" s="44"/>
      <c r="Y7" s="44"/>
      <c r="Z7" s="44"/>
    </row>
    <row r="8" spans="1:26" ht="15.75" x14ac:dyDescent="0.3">
      <c r="C8" t="s">
        <v>70</v>
      </c>
      <c r="G8" t="s">
        <v>71</v>
      </c>
      <c r="M8" s="44"/>
      <c r="Y8" s="44"/>
      <c r="Z8" s="44"/>
    </row>
    <row r="9" spans="1:26" ht="15.75" x14ac:dyDescent="0.3">
      <c r="C9" s="25" t="s">
        <v>72</v>
      </c>
      <c r="D9" s="51">
        <v>0.85</v>
      </c>
      <c r="G9" t="s">
        <v>73</v>
      </c>
      <c r="M9" s="44"/>
      <c r="Y9" s="44"/>
      <c r="Z9" s="44"/>
    </row>
    <row r="10" spans="1:26" ht="15.75" x14ac:dyDescent="0.3">
      <c r="C10" s="25" t="s">
        <v>74</v>
      </c>
      <c r="D10" s="52">
        <v>1</v>
      </c>
      <c r="G10" t="s">
        <v>75</v>
      </c>
      <c r="M10" s="44"/>
      <c r="Y10" s="44"/>
      <c r="Z10" s="44"/>
    </row>
    <row r="11" spans="1:26" ht="15.75" customHeight="1" x14ac:dyDescent="0.3">
      <c r="C11" s="25" t="s">
        <v>76</v>
      </c>
      <c r="D11" s="29">
        <v>0.85</v>
      </c>
      <c r="G11" t="s">
        <v>77</v>
      </c>
      <c r="M11" s="44"/>
      <c r="Y11" s="44"/>
      <c r="Z11" s="44"/>
    </row>
    <row r="12" spans="1:26" ht="15.75" customHeight="1" x14ac:dyDescent="0.3">
      <c r="C12" s="25" t="s">
        <v>78</v>
      </c>
      <c r="D12" s="53">
        <f>0.00256*D9*D10*D11*C2^2</f>
        <v>22.380159999999997</v>
      </c>
      <c r="M12" s="44"/>
      <c r="Y12" s="44"/>
      <c r="Z12" s="44"/>
    </row>
    <row r="13" spans="1:26" ht="15.75" customHeight="1" x14ac:dyDescent="0.2">
      <c r="C13" s="25" t="s">
        <v>79</v>
      </c>
      <c r="D13" s="54">
        <v>0.85</v>
      </c>
      <c r="G13" t="s">
        <v>80</v>
      </c>
      <c r="M13" s="44"/>
      <c r="Y13" s="44"/>
      <c r="Z13" s="44"/>
    </row>
    <row r="14" spans="1:26" ht="15.75" customHeight="1" x14ac:dyDescent="0.3">
      <c r="C14" s="35" t="s">
        <v>81</v>
      </c>
      <c r="D14" s="55">
        <v>0.8</v>
      </c>
      <c r="G14" s="56" t="s">
        <v>82</v>
      </c>
      <c r="M14" s="44"/>
      <c r="Y14" s="44"/>
      <c r="Z14" s="44"/>
    </row>
    <row r="15" spans="1:26" ht="15.75" customHeight="1" x14ac:dyDescent="0.2">
      <c r="A15" s="44"/>
      <c r="B15" s="44"/>
      <c r="C15" s="57" t="s">
        <v>83</v>
      </c>
      <c r="D15" s="58">
        <v>-0.18</v>
      </c>
      <c r="E15" s="58">
        <v>0.18</v>
      </c>
      <c r="F15" s="44"/>
      <c r="G15" s="59" t="s">
        <v>84</v>
      </c>
      <c r="I15" s="44"/>
      <c r="J15" s="44"/>
      <c r="M15" s="44"/>
      <c r="Y15" s="44"/>
      <c r="Z15" s="44"/>
    </row>
    <row r="16" spans="1:26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M16" s="44"/>
      <c r="Y16" s="44"/>
      <c r="Z16" s="44"/>
    </row>
    <row r="17" spans="1:26" x14ac:dyDescent="0.2">
      <c r="A17" s="44"/>
      <c r="C17" s="60" t="s">
        <v>85</v>
      </c>
      <c r="D17" s="61">
        <f>D12*D13*D14-D12*D13*D15</f>
        <v>18.642673279999997</v>
      </c>
      <c r="E17" s="62">
        <f>D12*D13*D14-D12*D13*E15</f>
        <v>11.794344319999999</v>
      </c>
      <c r="F17" s="44"/>
      <c r="G17" s="44"/>
      <c r="H17" s="44"/>
      <c r="I17" s="44"/>
      <c r="J17" s="44"/>
      <c r="M17" s="44"/>
      <c r="Y17" s="44"/>
      <c r="Z17" s="44"/>
    </row>
    <row r="18" spans="1:26" x14ac:dyDescent="0.2">
      <c r="F18" s="63"/>
      <c r="G18" s="63"/>
      <c r="M18" s="44"/>
      <c r="N18" s="44"/>
      <c r="O18" s="60"/>
      <c r="P18" s="44"/>
      <c r="Q18" s="64"/>
      <c r="R18" s="65"/>
      <c r="S18" s="44"/>
      <c r="T18" s="44"/>
      <c r="U18" s="44"/>
      <c r="V18" s="44"/>
      <c r="W18" s="44"/>
      <c r="Y18" s="44"/>
      <c r="Z18" s="44"/>
    </row>
    <row r="19" spans="1:26" ht="15" x14ac:dyDescent="0.25">
      <c r="A19" s="235" t="s">
        <v>86</v>
      </c>
      <c r="B19" s="235"/>
      <c r="C19" s="66"/>
      <c r="D19" s="67"/>
      <c r="E19" s="68"/>
      <c r="F19" s="68"/>
      <c r="G19" s="68"/>
      <c r="H19" s="68"/>
      <c r="M19" s="44"/>
      <c r="N19" s="44"/>
      <c r="S19" s="44"/>
      <c r="T19" s="44"/>
      <c r="U19" s="44"/>
      <c r="V19" s="44"/>
      <c r="W19" s="44"/>
      <c r="Y19" s="44"/>
      <c r="Z19" s="44"/>
    </row>
    <row r="20" spans="1:26" x14ac:dyDescent="0.2">
      <c r="A20" s="69"/>
      <c r="B20" s="69"/>
      <c r="C20" s="69"/>
      <c r="D20" s="69"/>
      <c r="E20" s="68"/>
      <c r="F20" s="68"/>
      <c r="G20" s="68"/>
      <c r="H20" s="68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x14ac:dyDescent="0.2">
      <c r="A21" s="70"/>
      <c r="B21" s="69"/>
      <c r="C21" s="68"/>
      <c r="D21" s="68"/>
      <c r="E21" s="68"/>
      <c r="F21" s="68"/>
      <c r="G21" s="68"/>
      <c r="H21" s="68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x14ac:dyDescent="0.2">
      <c r="A22" s="68"/>
      <c r="B22" s="68"/>
      <c r="C22" s="71" t="s">
        <v>87</v>
      </c>
      <c r="D22" s="68"/>
      <c r="E22" s="68"/>
      <c r="F22" s="68"/>
      <c r="G22" s="68"/>
      <c r="H22" s="68"/>
      <c r="M22" s="44"/>
      <c r="X22" s="44"/>
      <c r="Y22" s="44"/>
      <c r="Z22" s="44"/>
    </row>
    <row r="23" spans="1:26" x14ac:dyDescent="0.2">
      <c r="A23" s="68"/>
      <c r="B23" s="68"/>
      <c r="C23" s="68"/>
      <c r="D23" s="68"/>
      <c r="E23" s="68"/>
      <c r="F23" s="68"/>
      <c r="G23" s="68"/>
      <c r="H23" s="68"/>
      <c r="M23" s="44"/>
      <c r="X23" s="44"/>
      <c r="Y23" s="44"/>
      <c r="Z23" s="44"/>
    </row>
    <row r="24" spans="1:26" x14ac:dyDescent="0.2">
      <c r="A24" s="68"/>
      <c r="B24" s="68"/>
      <c r="C24" s="68"/>
      <c r="D24" s="68"/>
      <c r="E24" s="68"/>
      <c r="F24" s="68"/>
      <c r="G24" s="68"/>
      <c r="H24" s="68"/>
      <c r="M24" s="44"/>
      <c r="X24" s="44"/>
      <c r="Y24" s="44"/>
      <c r="Z24" s="44"/>
    </row>
    <row r="25" spans="1:26" x14ac:dyDescent="0.2">
      <c r="A25" s="68"/>
      <c r="B25" s="68"/>
      <c r="C25" s="68"/>
      <c r="D25" s="68"/>
      <c r="E25" s="68"/>
      <c r="F25" s="68"/>
      <c r="G25" s="68"/>
      <c r="H25" s="68"/>
      <c r="O25" s="63"/>
      <c r="P25" s="72"/>
      <c r="Q25" s="63"/>
      <c r="R25" s="73"/>
      <c r="S25" s="73"/>
      <c r="T25" s="74"/>
      <c r="U25" s="74"/>
      <c r="V25" s="75"/>
      <c r="W25" s="76"/>
      <c r="X25" s="77"/>
      <c r="Y25" s="77"/>
      <c r="Z25" s="63"/>
    </row>
    <row r="26" spans="1:26" x14ac:dyDescent="0.2">
      <c r="A26" s="68"/>
      <c r="B26" s="68"/>
      <c r="C26" s="71" t="s">
        <v>88</v>
      </c>
      <c r="D26" s="68"/>
      <c r="E26" s="68"/>
      <c r="F26" s="68"/>
      <c r="G26" s="68"/>
      <c r="H26" s="68"/>
      <c r="O26" s="63"/>
      <c r="P26" s="72"/>
      <c r="Q26" s="63"/>
      <c r="R26" s="73"/>
      <c r="S26" s="73"/>
      <c r="T26" s="73"/>
      <c r="U26" s="73"/>
      <c r="V26" s="73"/>
      <c r="W26" s="74"/>
      <c r="X26" s="77"/>
      <c r="Y26" s="77"/>
      <c r="Z26" s="63"/>
    </row>
    <row r="27" spans="1:26" x14ac:dyDescent="0.2">
      <c r="A27" s="68"/>
      <c r="B27" s="68"/>
      <c r="C27" s="68" t="s">
        <v>89</v>
      </c>
      <c r="D27" s="68"/>
      <c r="E27" s="68"/>
      <c r="F27" s="68"/>
      <c r="G27" s="68"/>
      <c r="H27" s="68"/>
      <c r="O27" s="63"/>
      <c r="P27" s="72"/>
      <c r="Q27" s="63"/>
      <c r="R27" s="78"/>
      <c r="S27" s="73"/>
      <c r="T27" s="73"/>
      <c r="U27" s="79"/>
      <c r="V27" s="80"/>
      <c r="W27" s="81"/>
      <c r="X27" s="57"/>
      <c r="Y27" s="81"/>
      <c r="Z27" s="63"/>
    </row>
    <row r="28" spans="1:26" x14ac:dyDescent="0.2">
      <c r="A28" s="68"/>
      <c r="B28" s="68"/>
      <c r="C28" s="68"/>
      <c r="D28" s="68"/>
      <c r="E28" s="68"/>
      <c r="F28" s="68"/>
      <c r="G28" s="68"/>
      <c r="H28" s="68"/>
      <c r="O28" s="63"/>
      <c r="P28" s="72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x14ac:dyDescent="0.2">
      <c r="A29" s="68"/>
      <c r="B29" s="68"/>
      <c r="C29" s="68"/>
      <c r="D29" s="68"/>
      <c r="E29" s="68"/>
      <c r="F29" s="68"/>
      <c r="G29" s="68"/>
      <c r="H29" s="68"/>
      <c r="O29" s="63"/>
      <c r="P29" s="72"/>
      <c r="Q29" s="63"/>
      <c r="R29" s="226"/>
      <c r="S29" s="226"/>
      <c r="T29" s="226"/>
      <c r="U29" s="226"/>
      <c r="V29" s="226"/>
      <c r="W29" s="226"/>
      <c r="X29" s="226"/>
      <c r="Y29" s="226"/>
      <c r="Z29" s="63"/>
    </row>
    <row r="30" spans="1:26" x14ac:dyDescent="0.2">
      <c r="A30" s="241" t="s">
        <v>90</v>
      </c>
      <c r="B30" s="243"/>
      <c r="C30" s="68"/>
      <c r="D30" s="68"/>
      <c r="E30" s="68"/>
      <c r="F30" s="247"/>
      <c r="G30" s="247"/>
      <c r="H30" s="69"/>
      <c r="I30" s="63"/>
      <c r="J30" s="63"/>
      <c r="K30" s="63"/>
      <c r="L30" s="63"/>
      <c r="M30" s="63"/>
      <c r="O30" s="63"/>
      <c r="P30" s="72"/>
      <c r="Q30" s="63"/>
      <c r="R30" s="80"/>
      <c r="S30" s="80"/>
      <c r="T30" s="80"/>
      <c r="U30" s="63"/>
      <c r="V30" s="80"/>
      <c r="W30" s="80"/>
      <c r="X30" s="226"/>
      <c r="Y30" s="226"/>
      <c r="Z30" s="63"/>
    </row>
    <row r="31" spans="1:26" ht="15.75" x14ac:dyDescent="0.3">
      <c r="A31" s="83" t="s">
        <v>91</v>
      </c>
      <c r="B31" s="91">
        <v>1.677</v>
      </c>
      <c r="C31" s="71" t="s">
        <v>279</v>
      </c>
      <c r="D31" s="68"/>
      <c r="E31" s="68"/>
      <c r="F31" s="70"/>
      <c r="G31" s="85"/>
      <c r="H31" s="86"/>
      <c r="I31" s="63"/>
      <c r="J31" s="63"/>
      <c r="K31" s="63"/>
      <c r="L31" s="63"/>
      <c r="M31" s="63"/>
      <c r="O31" s="63"/>
      <c r="P31" s="72"/>
      <c r="Q31" s="63"/>
      <c r="R31" s="63"/>
      <c r="S31" s="80"/>
      <c r="T31" s="80"/>
      <c r="U31" s="80"/>
      <c r="V31" s="80"/>
      <c r="W31" s="80"/>
      <c r="X31" s="80"/>
      <c r="Y31" s="80"/>
      <c r="Z31" s="63"/>
    </row>
    <row r="32" spans="1:26" ht="15.75" x14ac:dyDescent="0.3">
      <c r="A32" s="83" t="s">
        <v>92</v>
      </c>
      <c r="B32" s="37">
        <v>1.1719999999999999</v>
      </c>
      <c r="C32" s="71" t="s">
        <v>279</v>
      </c>
      <c r="D32" s="68"/>
      <c r="E32" s="68"/>
      <c r="F32" s="70"/>
      <c r="G32" s="87"/>
      <c r="H32" s="86"/>
      <c r="I32" s="63"/>
      <c r="J32" s="63"/>
      <c r="K32" s="63"/>
      <c r="L32" s="63"/>
      <c r="M32" s="63"/>
      <c r="O32" s="63"/>
      <c r="P32" s="72"/>
      <c r="Q32" s="63"/>
      <c r="R32" s="80"/>
      <c r="S32" s="73"/>
      <c r="T32" s="74"/>
      <c r="U32" s="74"/>
      <c r="V32" s="75"/>
      <c r="W32" s="76"/>
      <c r="X32" s="77"/>
      <c r="Y32" s="77"/>
      <c r="Z32" s="63"/>
    </row>
    <row r="33" spans="1:26" x14ac:dyDescent="0.2">
      <c r="A33" s="83" t="s">
        <v>93</v>
      </c>
      <c r="B33" s="37">
        <v>1.5</v>
      </c>
      <c r="C33" s="71" t="s">
        <v>94</v>
      </c>
      <c r="D33" s="68"/>
      <c r="E33" s="71" t="s">
        <v>274</v>
      </c>
      <c r="F33" s="70"/>
      <c r="G33" s="87"/>
      <c r="H33" s="86"/>
      <c r="I33" s="63"/>
      <c r="J33" s="63"/>
      <c r="K33" s="63"/>
      <c r="L33" s="63"/>
      <c r="M33" s="63"/>
      <c r="O33" s="63"/>
      <c r="P33" s="72"/>
      <c r="Q33" s="63"/>
      <c r="R33" s="73"/>
      <c r="S33" s="73"/>
      <c r="T33" s="74"/>
      <c r="U33" s="74"/>
      <c r="V33" s="75"/>
      <c r="W33" s="76"/>
      <c r="X33" s="77"/>
      <c r="Y33" s="77"/>
      <c r="Z33" s="63"/>
    </row>
    <row r="34" spans="1:26" x14ac:dyDescent="0.2">
      <c r="A34" s="83" t="s">
        <v>95</v>
      </c>
      <c r="B34" s="88">
        <v>1</v>
      </c>
      <c r="C34" s="71" t="s">
        <v>96</v>
      </c>
      <c r="D34" s="68"/>
      <c r="E34" s="68"/>
      <c r="F34" s="70"/>
      <c r="G34" s="89"/>
      <c r="H34" s="86"/>
      <c r="I34" s="63"/>
      <c r="J34" s="63"/>
      <c r="K34" s="63"/>
      <c r="L34" s="63"/>
      <c r="M34" s="63"/>
      <c r="O34" s="63"/>
      <c r="P34" s="72"/>
      <c r="Q34" s="63"/>
      <c r="R34" s="73"/>
      <c r="S34" s="73"/>
      <c r="T34" s="73"/>
      <c r="U34" s="73"/>
      <c r="V34" s="73"/>
      <c r="W34" s="74"/>
      <c r="X34" s="77"/>
      <c r="Y34" s="77"/>
      <c r="Z34" s="63"/>
    </row>
    <row r="35" spans="1:26" ht="15.75" x14ac:dyDescent="0.3">
      <c r="A35" s="90" t="s">
        <v>97</v>
      </c>
      <c r="B35" s="91">
        <f>0.5*B32/(B33/B34)</f>
        <v>0.39066666666666666</v>
      </c>
      <c r="C35" s="92"/>
      <c r="D35" s="85"/>
      <c r="E35" s="68"/>
      <c r="F35" s="93"/>
      <c r="G35" s="94"/>
      <c r="H35" s="87"/>
      <c r="I35" s="95"/>
      <c r="J35" s="96"/>
      <c r="K35" s="63"/>
      <c r="L35" s="63"/>
      <c r="M35" s="63"/>
      <c r="O35" s="63"/>
      <c r="P35" s="72"/>
      <c r="Q35" s="63"/>
      <c r="R35" s="78"/>
      <c r="S35" s="73"/>
      <c r="T35" s="73"/>
      <c r="U35" s="79"/>
      <c r="V35" s="80"/>
      <c r="W35" s="81"/>
      <c r="X35" s="57"/>
      <c r="Y35" s="81"/>
      <c r="Z35" s="63"/>
    </row>
    <row r="36" spans="1:26" ht="15.75" x14ac:dyDescent="0.3">
      <c r="A36" s="97" t="s">
        <v>98</v>
      </c>
      <c r="B36" s="98">
        <f>B31/(B33/B34)</f>
        <v>1.1180000000000001</v>
      </c>
      <c r="C36" s="68"/>
      <c r="D36" s="68"/>
      <c r="E36" s="68"/>
      <c r="F36" s="93"/>
      <c r="G36" s="94"/>
      <c r="H36" s="69"/>
      <c r="I36" s="63"/>
      <c r="J36" s="63"/>
      <c r="K36" s="63"/>
      <c r="L36" s="63"/>
      <c r="M36" s="63"/>
      <c r="O36" s="63"/>
      <c r="P36" s="72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x14ac:dyDescent="0.2">
      <c r="A37" s="83" t="s">
        <v>99</v>
      </c>
      <c r="B37" s="37" t="str">
        <f>IF(B32&gt;0.75,"E","D")</f>
        <v>E</v>
      </c>
      <c r="C37" s="71" t="s">
        <v>100</v>
      </c>
      <c r="D37" s="68"/>
      <c r="E37" s="68"/>
      <c r="F37" s="70"/>
      <c r="G37" s="87"/>
      <c r="H37" s="86"/>
      <c r="I37" s="63"/>
      <c r="J37" s="63"/>
      <c r="K37" s="63"/>
      <c r="L37" s="63"/>
      <c r="M37" s="63"/>
      <c r="O37" s="63"/>
      <c r="P37" s="72"/>
      <c r="Q37" s="63"/>
      <c r="R37" s="226"/>
      <c r="S37" s="226"/>
      <c r="T37" s="226"/>
      <c r="U37" s="226"/>
      <c r="V37" s="226"/>
      <c r="W37" s="226"/>
      <c r="X37" s="226"/>
      <c r="Y37" s="226"/>
      <c r="Z37" s="63"/>
    </row>
    <row r="38" spans="1:26" ht="30.95" customHeight="1" x14ac:dyDescent="0.2">
      <c r="A38" s="99" t="s">
        <v>101</v>
      </c>
      <c r="B38" s="100">
        <v>1.5</v>
      </c>
      <c r="C38" s="101" t="s">
        <v>94</v>
      </c>
      <c r="D38" s="68"/>
      <c r="E38" s="246" t="s">
        <v>102</v>
      </c>
      <c r="F38" s="246"/>
      <c r="G38" s="246"/>
      <c r="H38" s="246"/>
      <c r="I38" s="63"/>
      <c r="J38" s="63"/>
      <c r="K38" s="63"/>
      <c r="L38" s="63"/>
      <c r="M38" s="63"/>
      <c r="O38" s="63"/>
      <c r="P38" s="72"/>
      <c r="Q38" s="63"/>
      <c r="R38" s="80"/>
      <c r="S38" s="80"/>
      <c r="T38" s="80"/>
      <c r="U38" s="63"/>
      <c r="V38" s="80"/>
      <c r="W38" s="80"/>
      <c r="X38" s="226"/>
      <c r="Y38" s="226"/>
      <c r="Z38" s="63"/>
    </row>
    <row r="39" spans="1:26" ht="15.75" x14ac:dyDescent="0.3">
      <c r="A39" s="102" t="s">
        <v>103</v>
      </c>
      <c r="B39" s="88">
        <v>1.5</v>
      </c>
      <c r="C39" s="71"/>
      <c r="D39" s="68"/>
      <c r="E39" s="68"/>
      <c r="F39" s="93"/>
      <c r="G39" s="89"/>
      <c r="H39" s="86"/>
      <c r="I39" s="63"/>
      <c r="J39" s="63"/>
      <c r="K39" s="63"/>
      <c r="L39" s="63"/>
      <c r="M39" s="63"/>
      <c r="O39" s="63"/>
      <c r="P39" s="72"/>
      <c r="Q39" s="63"/>
      <c r="R39" s="80"/>
      <c r="S39" s="80"/>
      <c r="T39" s="80"/>
      <c r="U39" s="63"/>
      <c r="V39" s="80"/>
      <c r="W39" s="80"/>
      <c r="X39" s="80"/>
      <c r="Y39" s="80"/>
      <c r="Z39" s="63"/>
    </row>
    <row r="40" spans="1:26" x14ac:dyDescent="0.2">
      <c r="A40" s="68"/>
      <c r="B40" s="68"/>
      <c r="C40" s="68"/>
      <c r="D40" s="68"/>
      <c r="E40" s="68"/>
      <c r="F40" s="68"/>
      <c r="G40" s="68"/>
      <c r="H40" s="68"/>
      <c r="J40" s="103"/>
      <c r="K40" s="103"/>
      <c r="O40" s="63"/>
      <c r="P40" s="72"/>
      <c r="Q40" s="63"/>
      <c r="R40" s="63"/>
      <c r="S40" s="80"/>
      <c r="T40" s="80"/>
      <c r="U40" s="80"/>
      <c r="V40" s="80"/>
      <c r="W40" s="80"/>
      <c r="X40" s="80"/>
      <c r="Y40" s="80"/>
      <c r="Z40" s="63"/>
    </row>
    <row r="41" spans="1:26" ht="15" x14ac:dyDescent="0.25">
      <c r="A41" s="235" t="s">
        <v>104</v>
      </c>
      <c r="B41" s="235"/>
      <c r="C41" s="68"/>
      <c r="D41" s="68"/>
      <c r="E41" s="68"/>
      <c r="F41" s="68"/>
      <c r="G41" s="221"/>
      <c r="H41" s="220"/>
      <c r="J41" s="103"/>
      <c r="K41" s="103"/>
      <c r="O41" s="63"/>
      <c r="P41" s="72"/>
      <c r="Q41" s="63"/>
      <c r="R41" s="63"/>
      <c r="S41" s="82"/>
      <c r="T41" s="82"/>
      <c r="U41" s="82"/>
      <c r="V41" s="82"/>
      <c r="W41" s="82"/>
      <c r="X41" s="82"/>
      <c r="Y41" s="82"/>
      <c r="Z41" s="63"/>
    </row>
    <row r="42" spans="1:26" x14ac:dyDescent="0.2">
      <c r="A42" s="87"/>
      <c r="B42" s="87"/>
      <c r="C42" s="87"/>
      <c r="D42" s="68"/>
      <c r="E42" s="68"/>
      <c r="F42" s="68"/>
      <c r="G42" s="68"/>
      <c r="H42" s="68"/>
      <c r="J42" s="103"/>
      <c r="K42" s="103"/>
      <c r="O42" s="63"/>
      <c r="P42" s="72"/>
      <c r="Q42" s="63"/>
      <c r="R42" s="63"/>
      <c r="S42" s="82"/>
      <c r="T42" s="82"/>
      <c r="U42" s="82"/>
      <c r="V42" s="82"/>
      <c r="W42" s="82"/>
      <c r="X42" s="82"/>
      <c r="Y42" s="82"/>
      <c r="Z42" s="63"/>
    </row>
    <row r="43" spans="1:26" x14ac:dyDescent="0.2">
      <c r="A43" s="106" t="s">
        <v>105</v>
      </c>
      <c r="B43" s="68"/>
      <c r="C43" s="68"/>
      <c r="D43" s="233" t="s">
        <v>106</v>
      </c>
      <c r="E43" s="234"/>
      <c r="F43" s="68"/>
      <c r="G43" s="233" t="s">
        <v>122</v>
      </c>
      <c r="H43" s="234"/>
      <c r="J43" s="103"/>
      <c r="K43" s="103"/>
      <c r="N43" s="107"/>
      <c r="O43" s="217"/>
      <c r="P43" s="63"/>
      <c r="Q43" s="63"/>
      <c r="R43" s="63"/>
      <c r="S43" s="80"/>
      <c r="T43" s="80"/>
      <c r="U43" s="80"/>
      <c r="V43" s="80"/>
      <c r="W43" s="80"/>
      <c r="X43" s="80"/>
      <c r="Y43" s="80"/>
      <c r="Z43" s="63"/>
    </row>
    <row r="44" spans="1:26" x14ac:dyDescent="0.2">
      <c r="A44" s="233" t="s">
        <v>108</v>
      </c>
      <c r="B44" s="234"/>
      <c r="C44" s="68"/>
      <c r="D44" s="90" t="s">
        <v>109</v>
      </c>
      <c r="E44" s="164">
        <v>5</v>
      </c>
      <c r="F44" s="68"/>
      <c r="G44" s="90" t="s">
        <v>125</v>
      </c>
      <c r="H44" s="164">
        <v>1</v>
      </c>
      <c r="J44" s="104"/>
      <c r="K44" s="105"/>
      <c r="L44" s="23"/>
      <c r="N44" s="107"/>
      <c r="O44" s="218"/>
      <c r="P44" s="219"/>
      <c r="Q44" s="63"/>
      <c r="R44" s="80"/>
      <c r="S44" s="73"/>
      <c r="T44" s="74"/>
      <c r="U44" s="74"/>
      <c r="V44" s="75"/>
      <c r="W44" s="76"/>
      <c r="X44" s="77"/>
      <c r="Y44" s="77"/>
      <c r="Z44" s="63"/>
    </row>
    <row r="45" spans="1:26" x14ac:dyDescent="0.2">
      <c r="A45" s="90" t="s">
        <v>111</v>
      </c>
      <c r="B45" s="88">
        <v>0</v>
      </c>
      <c r="C45" s="68"/>
      <c r="D45" s="90" t="s">
        <v>112</v>
      </c>
      <c r="E45" s="164">
        <v>1.5</v>
      </c>
      <c r="F45" s="68"/>
      <c r="G45" s="90" t="s">
        <v>112</v>
      </c>
      <c r="H45" s="164">
        <v>0</v>
      </c>
      <c r="J45" s="104"/>
      <c r="K45" s="105"/>
      <c r="N45" s="107"/>
      <c r="O45" s="127"/>
      <c r="P45" s="73"/>
      <c r="Q45" s="63"/>
      <c r="R45" s="80"/>
      <c r="S45" s="73"/>
      <c r="T45" s="74"/>
      <c r="U45" s="74"/>
      <c r="V45" s="75"/>
      <c r="W45" s="76"/>
      <c r="X45" s="77"/>
      <c r="Y45" s="77"/>
      <c r="Z45" s="63"/>
    </row>
    <row r="46" spans="1:26" x14ac:dyDescent="0.2">
      <c r="A46" s="90" t="s">
        <v>276</v>
      </c>
      <c r="B46" s="164">
        <v>1.5</v>
      </c>
      <c r="C46" s="68"/>
      <c r="D46" s="90" t="s">
        <v>277</v>
      </c>
      <c r="E46" s="164">
        <v>2</v>
      </c>
      <c r="F46" s="68"/>
      <c r="G46" s="90" t="s">
        <v>276</v>
      </c>
      <c r="H46" s="164">
        <v>1.5</v>
      </c>
      <c r="J46" s="104"/>
      <c r="K46" s="105"/>
      <c r="N46" s="107"/>
      <c r="O46" s="176"/>
      <c r="P46" s="73"/>
      <c r="Q46" s="63"/>
      <c r="R46" s="80"/>
      <c r="S46" s="73"/>
      <c r="T46" s="74"/>
      <c r="U46" s="74"/>
      <c r="V46" s="75"/>
      <c r="W46" s="76"/>
      <c r="X46" s="77"/>
      <c r="Y46" s="77"/>
      <c r="Z46" s="63"/>
    </row>
    <row r="47" spans="1:26" x14ac:dyDescent="0.2">
      <c r="A47" s="90" t="s">
        <v>112</v>
      </c>
      <c r="B47" s="164">
        <v>1.5</v>
      </c>
      <c r="C47" s="68"/>
      <c r="D47" s="83" t="s">
        <v>114</v>
      </c>
      <c r="E47" s="164">
        <v>0</v>
      </c>
      <c r="F47" s="68"/>
      <c r="G47" s="90" t="s">
        <v>115</v>
      </c>
      <c r="H47" s="164">
        <v>0</v>
      </c>
      <c r="J47" s="104"/>
      <c r="K47" s="105"/>
      <c r="N47" s="107"/>
      <c r="O47" s="176"/>
      <c r="P47" s="73"/>
      <c r="Q47" s="63"/>
      <c r="R47" s="80"/>
      <c r="S47" s="73"/>
      <c r="T47" s="74"/>
      <c r="U47" s="74"/>
      <c r="V47" s="75"/>
      <c r="W47" s="76"/>
      <c r="X47" s="77"/>
      <c r="Y47" s="77"/>
      <c r="Z47" s="63"/>
    </row>
    <row r="48" spans="1:26" ht="13.5" thickBot="1" x14ac:dyDescent="0.25">
      <c r="A48" s="90" t="s">
        <v>114</v>
      </c>
      <c r="B48" s="88">
        <v>0</v>
      </c>
      <c r="C48" s="68"/>
      <c r="D48" s="110" t="s">
        <v>115</v>
      </c>
      <c r="E48" s="109">
        <v>0</v>
      </c>
      <c r="F48" s="68"/>
      <c r="G48" s="90" t="s">
        <v>117</v>
      </c>
      <c r="H48" s="164">
        <v>0.5</v>
      </c>
      <c r="J48" s="107"/>
      <c r="K48" s="105"/>
      <c r="N48" s="107"/>
      <c r="O48" s="127"/>
      <c r="P48" s="73"/>
      <c r="Q48" s="63"/>
      <c r="R48" s="73"/>
      <c r="S48" s="73"/>
      <c r="T48" s="74"/>
      <c r="U48" s="74"/>
      <c r="V48" s="75"/>
      <c r="W48" s="76"/>
      <c r="X48" s="77"/>
      <c r="Y48" s="77"/>
      <c r="Z48" s="63"/>
    </row>
    <row r="49" spans="1:26" ht="13.5" thickBot="1" x14ac:dyDescent="0.25">
      <c r="A49" s="108" t="s">
        <v>117</v>
      </c>
      <c r="B49" s="113">
        <v>1</v>
      </c>
      <c r="C49" s="68"/>
      <c r="D49" s="40" t="s">
        <v>118</v>
      </c>
      <c r="E49" s="164">
        <v>0</v>
      </c>
      <c r="F49" s="68"/>
      <c r="G49" s="111" t="s">
        <v>116</v>
      </c>
      <c r="H49" s="112">
        <f>SUM(H44:H48)</f>
        <v>3</v>
      </c>
      <c r="J49" s="107"/>
      <c r="K49" s="105"/>
      <c r="N49" s="107"/>
      <c r="O49" s="127"/>
      <c r="P49" s="128"/>
      <c r="Q49" s="63"/>
      <c r="R49" s="73"/>
      <c r="S49" s="73"/>
      <c r="T49" s="73"/>
      <c r="U49" s="73"/>
      <c r="V49" s="73"/>
      <c r="W49" s="74"/>
      <c r="X49" s="77"/>
      <c r="Y49" s="77"/>
      <c r="Z49" s="63"/>
    </row>
    <row r="50" spans="1:26" ht="13.5" thickBot="1" x14ac:dyDescent="0.25">
      <c r="A50" s="111" t="s">
        <v>116</v>
      </c>
      <c r="B50" s="112">
        <f>SUM(B45:B49)</f>
        <v>4</v>
      </c>
      <c r="C50" s="71"/>
      <c r="D50" s="108" t="s">
        <v>117</v>
      </c>
      <c r="E50" s="109">
        <v>1.5</v>
      </c>
      <c r="F50" s="68"/>
      <c r="G50" s="68"/>
      <c r="H50" s="68"/>
      <c r="J50" s="107"/>
      <c r="K50" s="105"/>
      <c r="O50" s="63"/>
      <c r="P50" s="72"/>
      <c r="Q50" s="63"/>
      <c r="R50" s="78"/>
      <c r="S50" s="73"/>
      <c r="T50" s="73"/>
      <c r="U50" s="79"/>
      <c r="V50" s="80"/>
      <c r="W50" s="81"/>
      <c r="X50" s="57"/>
      <c r="Y50" s="81"/>
      <c r="Z50" s="63"/>
    </row>
    <row r="51" spans="1:26" ht="13.5" thickBot="1" x14ac:dyDescent="0.25">
      <c r="A51" s="69"/>
      <c r="B51" s="69"/>
      <c r="C51" s="71"/>
      <c r="D51" s="111" t="s">
        <v>116</v>
      </c>
      <c r="E51" s="112">
        <f>SUM(E44:E50)</f>
        <v>10</v>
      </c>
      <c r="F51" s="68"/>
      <c r="G51" s="68"/>
      <c r="H51" s="68"/>
      <c r="J51" s="114"/>
      <c r="K51" s="105"/>
      <c r="O51" s="63"/>
      <c r="P51" s="72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3.5" thickBot="1" x14ac:dyDescent="0.25">
      <c r="A52" s="117" t="s">
        <v>132</v>
      </c>
      <c r="B52" s="112">
        <v>20</v>
      </c>
      <c r="C52" s="115"/>
      <c r="D52" s="115"/>
      <c r="E52" s="68"/>
      <c r="F52" s="68"/>
      <c r="G52" s="68"/>
      <c r="H52" s="68"/>
      <c r="J52" s="114"/>
      <c r="K52" s="105"/>
      <c r="O52" s="63"/>
      <c r="P52" s="72"/>
      <c r="Q52" s="63"/>
      <c r="R52" s="226"/>
      <c r="S52" s="226"/>
      <c r="T52" s="226"/>
      <c r="U52" s="226"/>
      <c r="V52" s="226"/>
      <c r="W52" s="226"/>
      <c r="X52" s="226"/>
      <c r="Y52" s="226"/>
      <c r="Z52" s="63"/>
    </row>
    <row r="53" spans="1:26" ht="13.5" thickBot="1" x14ac:dyDescent="0.25">
      <c r="A53" s="118" t="s">
        <v>133</v>
      </c>
      <c r="B53" s="112">
        <v>20</v>
      </c>
      <c r="C53" s="115"/>
      <c r="D53" s="115"/>
      <c r="E53" s="68"/>
      <c r="F53" s="68"/>
      <c r="G53" s="68"/>
      <c r="H53" s="68"/>
      <c r="J53" s="114"/>
      <c r="K53" s="105"/>
      <c r="O53" s="63"/>
      <c r="P53" s="72"/>
      <c r="Q53" s="63"/>
      <c r="R53" s="82"/>
      <c r="S53" s="82"/>
      <c r="T53" s="82"/>
      <c r="U53" s="82"/>
      <c r="V53" s="82"/>
      <c r="W53" s="82"/>
      <c r="X53" s="82"/>
      <c r="Y53" s="82"/>
      <c r="Z53" s="63"/>
    </row>
    <row r="54" spans="1:26" x14ac:dyDescent="0.2">
      <c r="A54" s="119" t="s">
        <v>136</v>
      </c>
      <c r="B54" s="120"/>
      <c r="C54" s="68"/>
      <c r="D54" s="68"/>
      <c r="E54" s="68"/>
      <c r="F54" s="68"/>
      <c r="G54" s="68"/>
      <c r="H54" s="68"/>
      <c r="J54" s="114"/>
      <c r="K54" s="107"/>
      <c r="O54" s="63"/>
      <c r="P54" s="72"/>
      <c r="Q54" s="63"/>
      <c r="R54" s="80"/>
      <c r="S54" s="80"/>
      <c r="T54" s="80"/>
      <c r="U54" s="63"/>
      <c r="V54" s="80"/>
      <c r="W54" s="80"/>
      <c r="X54" s="226"/>
      <c r="Y54" s="226"/>
      <c r="Z54" s="63"/>
    </row>
    <row r="55" spans="1:26" x14ac:dyDescent="0.2">
      <c r="A55" s="68"/>
      <c r="B55" s="68"/>
      <c r="C55" s="68"/>
      <c r="D55" s="68"/>
      <c r="E55" s="68"/>
      <c r="F55" s="68"/>
      <c r="G55" s="68"/>
      <c r="H55" s="68"/>
      <c r="O55" s="63"/>
      <c r="P55" s="72"/>
      <c r="Q55" s="63"/>
      <c r="R55" s="63"/>
      <c r="S55" s="80"/>
      <c r="T55" s="80"/>
      <c r="U55" s="80"/>
      <c r="V55" s="80"/>
      <c r="W55" s="80"/>
      <c r="X55" s="80"/>
      <c r="Y55" s="80"/>
      <c r="Z55" s="63"/>
    </row>
    <row r="56" spans="1:26" ht="15" x14ac:dyDescent="0.25">
      <c r="A56" s="235" t="s">
        <v>104</v>
      </c>
      <c r="B56" s="235"/>
      <c r="C56" s="68"/>
      <c r="D56" s="68"/>
      <c r="E56" s="68"/>
      <c r="F56" s="68"/>
      <c r="G56" s="220"/>
      <c r="H56" s="220"/>
      <c r="O56" s="63"/>
      <c r="P56" s="72"/>
      <c r="Q56" s="63"/>
      <c r="R56" s="73"/>
      <c r="S56" s="73"/>
      <c r="T56" s="73"/>
      <c r="U56" s="74"/>
      <c r="V56" s="75"/>
      <c r="W56" s="76"/>
      <c r="X56" s="77"/>
      <c r="Y56" s="77"/>
      <c r="Z56" s="63"/>
    </row>
    <row r="57" spans="1:26" x14ac:dyDescent="0.2">
      <c r="A57" s="87"/>
      <c r="B57" s="87"/>
      <c r="C57" s="87"/>
      <c r="D57" s="68"/>
      <c r="E57" s="68"/>
      <c r="F57" s="68"/>
      <c r="G57" s="68"/>
      <c r="H57" s="68"/>
      <c r="O57" s="63"/>
      <c r="P57" s="72"/>
      <c r="Q57" s="63"/>
      <c r="R57" s="73"/>
      <c r="S57" s="73"/>
      <c r="T57" s="73"/>
      <c r="U57" s="73"/>
      <c r="V57" s="73"/>
      <c r="W57" s="74"/>
      <c r="X57" s="77"/>
      <c r="Y57" s="77"/>
      <c r="Z57" s="63"/>
    </row>
    <row r="58" spans="1:26" x14ac:dyDescent="0.2">
      <c r="A58" s="106" t="s">
        <v>105</v>
      </c>
      <c r="B58" s="68"/>
      <c r="C58" s="68"/>
      <c r="D58" s="106" t="s">
        <v>105</v>
      </c>
      <c r="E58" s="68"/>
      <c r="F58" s="68"/>
      <c r="G58" s="233" t="s">
        <v>106</v>
      </c>
      <c r="H58" s="234"/>
      <c r="O58" s="63"/>
      <c r="P58" s="72"/>
      <c r="Q58" s="63"/>
      <c r="R58" s="73"/>
      <c r="S58" s="73"/>
      <c r="T58" s="73"/>
      <c r="U58" s="73"/>
      <c r="V58" s="73"/>
      <c r="W58" s="74"/>
      <c r="X58" s="77"/>
      <c r="Y58" s="77"/>
      <c r="Z58" s="63"/>
    </row>
    <row r="59" spans="1:26" x14ac:dyDescent="0.2">
      <c r="A59" s="233" t="s">
        <v>107</v>
      </c>
      <c r="B59" s="234"/>
      <c r="C59" s="68"/>
      <c r="D59" s="233" t="s">
        <v>108</v>
      </c>
      <c r="E59" s="234"/>
      <c r="F59" s="68"/>
      <c r="G59" s="90" t="s">
        <v>109</v>
      </c>
      <c r="H59" s="37">
        <v>5</v>
      </c>
      <c r="O59" s="63"/>
      <c r="P59" s="72"/>
      <c r="Q59" s="63"/>
      <c r="R59" s="73"/>
      <c r="S59" s="73"/>
      <c r="T59" s="73"/>
      <c r="U59" s="73"/>
      <c r="V59" s="73"/>
      <c r="W59" s="74"/>
      <c r="X59" s="77"/>
      <c r="Y59" s="77"/>
      <c r="Z59" s="63"/>
    </row>
    <row r="60" spans="1:26" x14ac:dyDescent="0.2">
      <c r="A60" s="83" t="s">
        <v>110</v>
      </c>
      <c r="B60" s="37">
        <v>2.5</v>
      </c>
      <c r="C60" s="68"/>
      <c r="D60" s="90" t="s">
        <v>111</v>
      </c>
      <c r="E60" s="88">
        <v>0</v>
      </c>
      <c r="F60" s="68"/>
      <c r="G60" s="90" t="s">
        <v>112</v>
      </c>
      <c r="H60" s="37">
        <v>1.5</v>
      </c>
      <c r="O60" s="63"/>
      <c r="P60" s="72"/>
      <c r="Q60" s="63"/>
      <c r="R60" s="73"/>
      <c r="S60" s="73"/>
      <c r="T60" s="73"/>
      <c r="U60" s="73"/>
      <c r="V60" s="73"/>
      <c r="W60" s="74"/>
      <c r="X60" s="77"/>
      <c r="Y60" s="77"/>
      <c r="Z60" s="63"/>
    </row>
    <row r="61" spans="1:26" x14ac:dyDescent="0.2">
      <c r="A61" s="90" t="s">
        <v>113</v>
      </c>
      <c r="B61" s="37">
        <v>4</v>
      </c>
      <c r="C61" s="68"/>
      <c r="D61" s="90" t="s">
        <v>276</v>
      </c>
      <c r="E61" s="37">
        <v>1.5</v>
      </c>
      <c r="F61" s="68"/>
      <c r="G61" s="90" t="s">
        <v>277</v>
      </c>
      <c r="H61" s="37">
        <v>2</v>
      </c>
      <c r="O61" s="63"/>
      <c r="P61" s="72"/>
      <c r="Q61" s="63"/>
      <c r="R61" s="73"/>
      <c r="S61" s="73"/>
      <c r="T61" s="73"/>
      <c r="U61" s="73"/>
      <c r="V61" s="73"/>
      <c r="W61" s="74"/>
      <c r="X61" s="77"/>
      <c r="Y61" s="77"/>
      <c r="Z61" s="63"/>
    </row>
    <row r="62" spans="1:26" x14ac:dyDescent="0.2">
      <c r="A62" s="90" t="s">
        <v>112</v>
      </c>
      <c r="B62" s="37">
        <v>1.5</v>
      </c>
      <c r="C62" s="68"/>
      <c r="D62" s="90" t="s">
        <v>112</v>
      </c>
      <c r="E62" s="37">
        <v>1.5</v>
      </c>
      <c r="F62" s="68"/>
      <c r="G62" s="83" t="s">
        <v>114</v>
      </c>
      <c r="H62" s="37">
        <v>0</v>
      </c>
      <c r="O62" s="63"/>
      <c r="P62" s="72"/>
      <c r="Q62" s="63"/>
      <c r="R62" s="73"/>
      <c r="S62" s="73"/>
      <c r="T62" s="73"/>
      <c r="U62" s="73"/>
      <c r="V62" s="73"/>
      <c r="W62" s="74"/>
      <c r="X62" s="77"/>
      <c r="Y62" s="77"/>
      <c r="Z62" s="63"/>
    </row>
    <row r="63" spans="1:26" ht="13.5" thickBot="1" x14ac:dyDescent="0.25">
      <c r="A63" s="108" t="s">
        <v>114</v>
      </c>
      <c r="B63" s="109">
        <v>1</v>
      </c>
      <c r="C63" s="68"/>
      <c r="D63" s="90" t="s">
        <v>114</v>
      </c>
      <c r="E63" s="88">
        <v>0</v>
      </c>
      <c r="F63" s="68"/>
      <c r="G63" s="110" t="s">
        <v>115</v>
      </c>
      <c r="H63" s="109">
        <v>0</v>
      </c>
      <c r="O63" s="63"/>
      <c r="P63" s="72"/>
      <c r="Q63" s="63"/>
      <c r="R63" s="73"/>
      <c r="S63" s="73"/>
      <c r="T63" s="73"/>
      <c r="U63" s="73"/>
      <c r="V63" s="73"/>
      <c r="W63" s="74"/>
      <c r="X63" s="77"/>
      <c r="Y63" s="77"/>
      <c r="Z63" s="63"/>
    </row>
    <row r="64" spans="1:26" ht="13.5" thickBot="1" x14ac:dyDescent="0.25">
      <c r="A64" s="111" t="s">
        <v>116</v>
      </c>
      <c r="B64" s="112">
        <f>SUM(B60:B63)</f>
        <v>9</v>
      </c>
      <c r="C64" s="68"/>
      <c r="D64" s="108" t="s">
        <v>117</v>
      </c>
      <c r="E64" s="113">
        <v>1</v>
      </c>
      <c r="F64" s="68"/>
      <c r="G64" s="40" t="s">
        <v>118</v>
      </c>
      <c r="H64" s="37">
        <v>0</v>
      </c>
      <c r="O64" s="63"/>
      <c r="P64" s="72"/>
      <c r="Q64" s="63"/>
      <c r="R64" s="73"/>
      <c r="S64" s="73"/>
      <c r="T64" s="73"/>
      <c r="U64" s="73"/>
      <c r="V64" s="73"/>
      <c r="W64" s="74"/>
      <c r="X64" s="77"/>
      <c r="Y64" s="77"/>
      <c r="Z64" s="63"/>
    </row>
    <row r="65" spans="1:26" ht="13.5" thickBot="1" x14ac:dyDescent="0.25">
      <c r="A65" s="68"/>
      <c r="B65" s="68"/>
      <c r="C65" s="71"/>
      <c r="D65" s="111" t="s">
        <v>116</v>
      </c>
      <c r="E65" s="112">
        <f>SUM(E60:E64)</f>
        <v>4</v>
      </c>
      <c r="F65" s="68"/>
      <c r="G65" s="108" t="s">
        <v>117</v>
      </c>
      <c r="H65" s="109">
        <v>1.5</v>
      </c>
      <c r="O65" s="63"/>
      <c r="P65" s="72"/>
      <c r="Q65" s="63"/>
      <c r="R65" s="73"/>
      <c r="S65" s="73"/>
      <c r="T65" s="73"/>
      <c r="U65" s="73"/>
      <c r="V65" s="73"/>
      <c r="W65" s="74"/>
      <c r="X65" s="77"/>
      <c r="Y65" s="77"/>
      <c r="Z65" s="63"/>
    </row>
    <row r="66" spans="1:26" ht="13.5" thickBot="1" x14ac:dyDescent="0.25">
      <c r="A66" s="106" t="s">
        <v>105</v>
      </c>
      <c r="B66" s="68"/>
      <c r="C66" s="71"/>
      <c r="D66" s="68"/>
      <c r="E66" s="68"/>
      <c r="F66" s="68"/>
      <c r="G66" s="111" t="s">
        <v>116</v>
      </c>
      <c r="H66" s="112">
        <f>SUM(H59:H65)</f>
        <v>10</v>
      </c>
      <c r="O66" s="63"/>
      <c r="P66" s="72"/>
      <c r="Q66" s="63"/>
      <c r="R66" s="73"/>
      <c r="S66" s="73"/>
      <c r="T66" s="73"/>
      <c r="U66" s="73"/>
      <c r="V66" s="73"/>
      <c r="W66" s="74"/>
      <c r="X66" s="77"/>
      <c r="Y66" s="77"/>
      <c r="Z66" s="63"/>
    </row>
    <row r="67" spans="1:26" x14ac:dyDescent="0.2">
      <c r="A67" s="233" t="s">
        <v>119</v>
      </c>
      <c r="B67" s="234"/>
      <c r="C67" s="115"/>
      <c r="D67" s="106" t="s">
        <v>120</v>
      </c>
      <c r="E67" s="68"/>
      <c r="F67" s="68"/>
      <c r="G67" s="68"/>
      <c r="H67" s="68"/>
      <c r="O67" s="63"/>
      <c r="P67" s="72"/>
      <c r="Q67" s="63"/>
      <c r="R67" s="73"/>
      <c r="S67" s="73"/>
      <c r="T67" s="73"/>
      <c r="U67" s="73"/>
      <c r="V67" s="73"/>
      <c r="W67" s="74"/>
      <c r="X67" s="77"/>
      <c r="Y67" s="77"/>
      <c r="Z67" s="63"/>
    </row>
    <row r="68" spans="1:26" x14ac:dyDescent="0.2">
      <c r="A68" s="90" t="s">
        <v>111</v>
      </c>
      <c r="B68" s="88">
        <v>2.5</v>
      </c>
      <c r="C68" s="69"/>
      <c r="D68" s="233" t="s">
        <v>121</v>
      </c>
      <c r="E68" s="234"/>
      <c r="F68" s="68"/>
      <c r="G68" s="233" t="s">
        <v>122</v>
      </c>
      <c r="H68" s="234"/>
      <c r="O68" s="63"/>
      <c r="P68" s="72"/>
      <c r="Q68" s="63"/>
      <c r="R68" s="73"/>
      <c r="S68" s="73"/>
      <c r="T68" s="73"/>
      <c r="U68" s="73"/>
      <c r="V68" s="73"/>
      <c r="W68" s="74"/>
      <c r="X68" s="77"/>
      <c r="Y68" s="77"/>
      <c r="Z68" s="63"/>
    </row>
    <row r="69" spans="1:26" ht="13.5" thickBot="1" x14ac:dyDescent="0.25">
      <c r="A69" s="90" t="s">
        <v>123</v>
      </c>
      <c r="B69" s="37">
        <v>4.5</v>
      </c>
      <c r="C69" s="68"/>
      <c r="D69" s="90" t="s">
        <v>124</v>
      </c>
      <c r="E69" s="37">
        <v>84</v>
      </c>
      <c r="F69" s="68"/>
      <c r="G69" s="90" t="s">
        <v>125</v>
      </c>
      <c r="H69" s="37">
        <v>1</v>
      </c>
      <c r="O69" s="63"/>
      <c r="P69" s="72"/>
      <c r="Q69" s="63"/>
      <c r="R69" s="73"/>
      <c r="S69" s="73"/>
      <c r="T69" s="73"/>
      <c r="U69" s="73"/>
      <c r="V69" s="73"/>
      <c r="W69" s="74"/>
      <c r="X69" s="77"/>
      <c r="Y69" s="77"/>
      <c r="Z69" s="63"/>
    </row>
    <row r="70" spans="1:26" ht="13.5" thickBot="1" x14ac:dyDescent="0.25">
      <c r="A70" s="90" t="s">
        <v>126</v>
      </c>
      <c r="B70" s="88">
        <v>2.5</v>
      </c>
      <c r="C70" s="68"/>
      <c r="D70" s="111" t="s">
        <v>116</v>
      </c>
      <c r="E70" s="112">
        <f>SUM(E69)</f>
        <v>84</v>
      </c>
      <c r="F70" s="68"/>
      <c r="G70" s="90" t="s">
        <v>112</v>
      </c>
      <c r="H70" s="37">
        <v>0</v>
      </c>
      <c r="O70" s="63"/>
      <c r="P70" s="72"/>
      <c r="Q70" s="63"/>
      <c r="R70" s="73"/>
      <c r="S70" s="73"/>
      <c r="T70" s="73"/>
      <c r="U70" s="73"/>
      <c r="V70" s="73"/>
      <c r="W70" s="74"/>
      <c r="X70" s="77"/>
      <c r="Y70" s="77"/>
      <c r="Z70" s="63"/>
    </row>
    <row r="71" spans="1:26" x14ac:dyDescent="0.2">
      <c r="A71" s="83" t="s">
        <v>114</v>
      </c>
      <c r="B71" s="88">
        <v>1</v>
      </c>
      <c r="C71" s="68"/>
      <c r="D71" s="70"/>
      <c r="E71" s="87"/>
      <c r="F71" s="68"/>
      <c r="G71" s="90" t="s">
        <v>276</v>
      </c>
      <c r="H71" s="37">
        <v>1.5</v>
      </c>
      <c r="O71" s="63"/>
      <c r="P71" s="72"/>
      <c r="Q71" s="63"/>
      <c r="R71" s="73"/>
      <c r="S71" s="73"/>
      <c r="T71" s="73"/>
      <c r="U71" s="73"/>
      <c r="V71" s="73"/>
      <c r="W71" s="74"/>
      <c r="X71" s="77"/>
      <c r="Y71" s="77"/>
      <c r="Z71" s="63"/>
    </row>
    <row r="72" spans="1:26" ht="13.5" thickBot="1" x14ac:dyDescent="0.25">
      <c r="A72" s="108" t="s">
        <v>117</v>
      </c>
      <c r="B72" s="113">
        <v>1.5</v>
      </c>
      <c r="C72" s="68"/>
      <c r="D72" s="106" t="s">
        <v>127</v>
      </c>
      <c r="E72" s="68"/>
      <c r="F72" s="68"/>
      <c r="G72" s="90" t="s">
        <v>115</v>
      </c>
      <c r="H72" s="37">
        <v>0</v>
      </c>
      <c r="O72" s="63"/>
      <c r="P72" s="72"/>
      <c r="Q72" s="63"/>
      <c r="R72" s="73"/>
      <c r="S72" s="73"/>
      <c r="T72" s="73"/>
      <c r="U72" s="73"/>
      <c r="V72" s="73"/>
      <c r="W72" s="74"/>
      <c r="X72" s="77"/>
      <c r="Y72" s="77"/>
      <c r="Z72" s="63"/>
    </row>
    <row r="73" spans="1:26" ht="13.5" thickBot="1" x14ac:dyDescent="0.25">
      <c r="A73" s="111" t="s">
        <v>116</v>
      </c>
      <c r="B73" s="112">
        <f>SUM(B68:B72)</f>
        <v>12</v>
      </c>
      <c r="C73" s="68"/>
      <c r="D73" s="233" t="s">
        <v>128</v>
      </c>
      <c r="E73" s="234"/>
      <c r="F73" s="68"/>
      <c r="G73" s="90" t="s">
        <v>117</v>
      </c>
      <c r="H73" s="37">
        <v>0.5</v>
      </c>
      <c r="O73" s="63"/>
      <c r="P73" s="72"/>
      <c r="Q73" s="63"/>
      <c r="R73" s="73"/>
      <c r="S73" s="73"/>
      <c r="T73" s="73"/>
      <c r="U73" s="73"/>
      <c r="V73" s="73"/>
      <c r="W73" s="74"/>
      <c r="X73" s="77"/>
      <c r="Y73" s="77"/>
      <c r="Z73" s="63"/>
    </row>
    <row r="74" spans="1:26" ht="13.5" thickBot="1" x14ac:dyDescent="0.25">
      <c r="A74" s="68"/>
      <c r="B74" s="68"/>
      <c r="C74" s="68"/>
      <c r="D74" s="110" t="s">
        <v>124</v>
      </c>
      <c r="E74" s="109">
        <v>84</v>
      </c>
      <c r="F74" s="68"/>
      <c r="G74" s="111" t="s">
        <v>116</v>
      </c>
      <c r="H74" s="112">
        <f>SUM(H69:H73)</f>
        <v>3</v>
      </c>
      <c r="O74" s="63"/>
      <c r="P74" s="72"/>
      <c r="Q74" s="63"/>
      <c r="R74" s="73"/>
      <c r="S74" s="73"/>
      <c r="T74" s="73"/>
      <c r="U74" s="73"/>
      <c r="V74" s="73"/>
      <c r="W74" s="74"/>
      <c r="X74" s="77"/>
      <c r="Y74" s="77"/>
      <c r="Z74" s="63"/>
    </row>
    <row r="75" spans="1:26" ht="15.75" customHeight="1" thickBot="1" x14ac:dyDescent="0.25">
      <c r="A75" s="231" t="s">
        <v>129</v>
      </c>
      <c r="B75" s="231"/>
      <c r="C75" s="68"/>
      <c r="D75" s="116" t="s">
        <v>130</v>
      </c>
      <c r="E75" s="109">
        <v>10</v>
      </c>
      <c r="F75" s="68"/>
      <c r="G75" s="68"/>
      <c r="H75" s="68"/>
      <c r="O75" s="63"/>
      <c r="P75" s="130"/>
      <c r="Q75" s="63"/>
      <c r="R75" s="78"/>
      <c r="S75" s="73"/>
      <c r="T75" s="73"/>
      <c r="U75" s="79"/>
      <c r="V75" s="80"/>
      <c r="W75" s="81"/>
      <c r="X75" s="57"/>
      <c r="Y75" s="131"/>
      <c r="Z75" s="63"/>
    </row>
    <row r="76" spans="1:26" ht="13.5" thickBot="1" x14ac:dyDescent="0.25">
      <c r="A76" s="117" t="s">
        <v>131</v>
      </c>
      <c r="B76" s="112">
        <v>20</v>
      </c>
      <c r="C76" s="68"/>
      <c r="D76" s="111" t="s">
        <v>116</v>
      </c>
      <c r="E76" s="112">
        <f>SUM(E74:E75)</f>
        <v>94</v>
      </c>
      <c r="F76" s="68"/>
      <c r="G76" s="117" t="s">
        <v>132</v>
      </c>
      <c r="H76" s="112">
        <v>20</v>
      </c>
      <c r="I76" s="129"/>
      <c r="O76" s="63"/>
      <c r="P76" s="72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6.5" thickBot="1" x14ac:dyDescent="0.35">
      <c r="A77" s="70"/>
      <c r="B77" s="87"/>
      <c r="C77" s="68"/>
      <c r="D77" s="68"/>
      <c r="E77" s="68"/>
      <c r="F77" s="68"/>
      <c r="G77" s="118" t="s">
        <v>133</v>
      </c>
      <c r="H77" s="112">
        <v>20</v>
      </c>
      <c r="I77" s="105"/>
      <c r="J77" s="107"/>
      <c r="K77" s="107"/>
      <c r="L77" s="107"/>
      <c r="M77" s="240"/>
      <c r="O77" s="63"/>
      <c r="Q77" s="63"/>
      <c r="R77" s="241" t="s">
        <v>147</v>
      </c>
      <c r="S77" s="242"/>
      <c r="T77" s="242"/>
      <c r="U77" s="242"/>
      <c r="V77" s="242"/>
      <c r="W77" s="242"/>
      <c r="X77" s="242"/>
      <c r="Y77" s="243"/>
      <c r="Z77" s="63"/>
    </row>
    <row r="78" spans="1:26" ht="15.75" x14ac:dyDescent="0.3">
      <c r="A78" s="232" t="s">
        <v>134</v>
      </c>
      <c r="B78" s="232"/>
      <c r="C78" s="68"/>
      <c r="D78" s="106" t="s">
        <v>135</v>
      </c>
      <c r="E78" s="68"/>
      <c r="F78" s="68"/>
      <c r="G78" s="119" t="s">
        <v>136</v>
      </c>
      <c r="H78" s="120"/>
      <c r="I78" s="107"/>
      <c r="J78" s="107"/>
      <c r="K78" s="107"/>
      <c r="L78" s="107"/>
      <c r="M78" s="240"/>
      <c r="O78" s="63"/>
      <c r="P78" s="72"/>
      <c r="Q78" s="63"/>
      <c r="R78" s="135" t="s">
        <v>154</v>
      </c>
      <c r="S78" s="135" t="s">
        <v>155</v>
      </c>
      <c r="T78" s="135" t="s">
        <v>156</v>
      </c>
      <c r="U78" s="136"/>
      <c r="V78" s="137" t="s">
        <v>157</v>
      </c>
      <c r="W78" s="135" t="s">
        <v>158</v>
      </c>
      <c r="X78" s="244" t="s">
        <v>159</v>
      </c>
      <c r="Y78" s="245"/>
      <c r="Z78" s="63"/>
    </row>
    <row r="79" spans="1:26" ht="16.5" thickBot="1" x14ac:dyDescent="0.35">
      <c r="A79" s="121" t="s">
        <v>137</v>
      </c>
      <c r="B79" s="122">
        <v>50</v>
      </c>
      <c r="C79" s="68"/>
      <c r="D79" s="233" t="s">
        <v>138</v>
      </c>
      <c r="E79" s="234"/>
      <c r="F79" s="68"/>
      <c r="G79" s="68"/>
      <c r="H79" s="68"/>
      <c r="I79" s="107"/>
      <c r="J79" s="107"/>
      <c r="K79" s="107"/>
      <c r="L79" s="107"/>
      <c r="M79" s="105"/>
      <c r="O79" s="63"/>
      <c r="P79" s="72"/>
      <c r="Q79" s="63"/>
      <c r="R79" s="143"/>
      <c r="S79" s="144" t="s">
        <v>161</v>
      </c>
      <c r="T79" s="144" t="s">
        <v>162</v>
      </c>
      <c r="U79" s="144" t="s">
        <v>163</v>
      </c>
      <c r="V79" s="144" t="s">
        <v>164</v>
      </c>
      <c r="W79" s="144" t="s">
        <v>165</v>
      </c>
      <c r="X79" s="145" t="s">
        <v>166</v>
      </c>
      <c r="Y79" s="145" t="s">
        <v>167</v>
      </c>
      <c r="Z79" s="63"/>
    </row>
    <row r="80" spans="1:26" ht="13.5" thickBot="1" x14ac:dyDescent="0.25">
      <c r="A80" s="117" t="s">
        <v>139</v>
      </c>
      <c r="B80" s="112">
        <v>80</v>
      </c>
      <c r="C80" s="68"/>
      <c r="D80" s="110" t="s">
        <v>124</v>
      </c>
      <c r="E80" s="109">
        <v>84</v>
      </c>
      <c r="F80" s="68"/>
      <c r="G80" s="123" t="s">
        <v>140</v>
      </c>
      <c r="H80" s="124">
        <v>5</v>
      </c>
      <c r="I80" s="107"/>
      <c r="J80" s="107"/>
      <c r="K80" s="107"/>
      <c r="L80" s="107"/>
      <c r="M80" s="105"/>
      <c r="O80" s="63"/>
      <c r="P80" s="72"/>
      <c r="Q80" s="63"/>
      <c r="R80" s="135">
        <v>2</v>
      </c>
      <c r="S80" s="146">
        <v>17</v>
      </c>
      <c r="T80" s="147">
        <f>D91</f>
        <v>5884.5</v>
      </c>
      <c r="U80" s="147">
        <f>S80*T80</f>
        <v>100036.5</v>
      </c>
      <c r="V80" s="148">
        <f>U80/U83</f>
        <v>0.65843592958622532</v>
      </c>
      <c r="W80" s="149">
        <f>V80*W83*1000</f>
        <v>8576.2985177663486</v>
      </c>
      <c r="X80" s="150">
        <f>W80</f>
        <v>8576.2985177663486</v>
      </c>
      <c r="Y80" s="151">
        <f>0.7*X80</f>
        <v>6003.4089624364433</v>
      </c>
      <c r="Z80" s="63"/>
    </row>
    <row r="81" spans="1:26" ht="13.5" thickBot="1" x14ac:dyDescent="0.25">
      <c r="A81" s="68"/>
      <c r="B81" s="68"/>
      <c r="C81" s="68"/>
      <c r="D81" s="116" t="s">
        <v>141</v>
      </c>
      <c r="E81" s="109">
        <v>30.5</v>
      </c>
      <c r="F81" s="68"/>
      <c r="G81" s="111" t="s">
        <v>142</v>
      </c>
      <c r="H81" s="125">
        <v>8</v>
      </c>
      <c r="I81" s="107"/>
      <c r="J81" s="107"/>
      <c r="K81" s="107"/>
      <c r="L81" s="107"/>
      <c r="M81" s="105"/>
      <c r="O81" s="63"/>
      <c r="P81" s="72"/>
      <c r="Q81" s="63"/>
      <c r="R81" s="146">
        <v>1</v>
      </c>
      <c r="S81" s="146">
        <v>9</v>
      </c>
      <c r="T81" s="152">
        <f>D92</f>
        <v>5766</v>
      </c>
      <c r="U81" s="147">
        <f>S81*T81</f>
        <v>51894</v>
      </c>
      <c r="V81" s="148">
        <f>U81/U83</f>
        <v>0.34156407041377473</v>
      </c>
      <c r="W81" s="149">
        <f>V81*W83*1000</f>
        <v>4448.9604822336532</v>
      </c>
      <c r="X81" s="150">
        <f>W81</f>
        <v>4448.9604822336532</v>
      </c>
      <c r="Y81" s="151">
        <f>0.7*X81</f>
        <v>3114.2723375635569</v>
      </c>
      <c r="Z81" s="63"/>
    </row>
    <row r="82" spans="1:26" ht="13.5" thickBot="1" x14ac:dyDescent="0.25">
      <c r="A82" s="68"/>
      <c r="B82" s="68"/>
      <c r="C82" s="68"/>
      <c r="D82" s="111" t="s">
        <v>116</v>
      </c>
      <c r="E82" s="112">
        <f>SUM(E80:E81)</f>
        <v>114.5</v>
      </c>
      <c r="F82" s="68"/>
      <c r="G82" s="111" t="s">
        <v>142</v>
      </c>
      <c r="H82" s="125">
        <v>10</v>
      </c>
      <c r="I82" s="107"/>
      <c r="J82" s="107"/>
      <c r="K82" s="107"/>
      <c r="L82" s="107"/>
      <c r="M82" s="105"/>
      <c r="O82" s="63"/>
      <c r="P82" s="72"/>
      <c r="Q82" s="63"/>
      <c r="R82" s="146" t="s">
        <v>171</v>
      </c>
      <c r="S82" s="146">
        <v>0</v>
      </c>
      <c r="T82" s="146"/>
      <c r="U82" s="146"/>
      <c r="V82" s="146"/>
      <c r="W82" s="147"/>
      <c r="X82" s="150">
        <f>SUM(X80:X81)</f>
        <v>13025.259000000002</v>
      </c>
      <c r="Y82" s="151">
        <f>0.7*X82</f>
        <v>9117.6813000000002</v>
      </c>
      <c r="Z82" s="63"/>
    </row>
    <row r="83" spans="1:26" ht="15.75" x14ac:dyDescent="0.3">
      <c r="A83" s="70"/>
      <c r="B83" s="87"/>
      <c r="C83" s="68"/>
      <c r="D83" s="70"/>
      <c r="E83" s="126"/>
      <c r="F83" s="68"/>
      <c r="G83" s="68"/>
      <c r="H83" s="68"/>
      <c r="I83" s="107"/>
      <c r="J83" s="107"/>
      <c r="K83" s="107"/>
      <c r="L83" s="107"/>
      <c r="M83" s="105"/>
      <c r="O83" s="63"/>
      <c r="P83" s="72"/>
      <c r="Q83" s="63"/>
      <c r="R83" s="153" t="s">
        <v>173</v>
      </c>
      <c r="S83" s="154"/>
      <c r="T83" s="37">
        <f>SUM(T80:T82)</f>
        <v>11650.5</v>
      </c>
      <c r="U83" s="155">
        <f>SUM(U80:U82)</f>
        <v>151930.5</v>
      </c>
      <c r="V83" s="156" t="s">
        <v>174</v>
      </c>
      <c r="W83" s="157">
        <f>B36*T83/1000</f>
        <v>13.025259000000002</v>
      </c>
      <c r="X83" s="158" t="s">
        <v>175</v>
      </c>
      <c r="Y83" s="159">
        <f>0.7*W83</f>
        <v>9.117681300000001</v>
      </c>
      <c r="Z83" s="63"/>
    </row>
    <row r="84" spans="1:26" x14ac:dyDescent="0.2">
      <c r="A84" s="127"/>
      <c r="B84" s="73"/>
      <c r="D84" s="127"/>
      <c r="E84" s="128"/>
      <c r="I84" s="107"/>
      <c r="J84" s="107"/>
      <c r="K84" s="107"/>
      <c r="L84" s="107"/>
      <c r="M84" s="105"/>
      <c r="O84" s="63"/>
      <c r="P84" s="72"/>
      <c r="Q84" s="63"/>
      <c r="R84" s="80"/>
      <c r="S84" s="73"/>
      <c r="T84" s="74"/>
      <c r="U84" s="74"/>
      <c r="V84" s="75"/>
      <c r="W84" s="76"/>
      <c r="X84" s="77"/>
      <c r="Y84" s="77"/>
      <c r="Z84" s="63"/>
    </row>
    <row r="85" spans="1:26" x14ac:dyDescent="0.2">
      <c r="A85" s="127"/>
      <c r="B85" s="73"/>
      <c r="D85" s="127"/>
      <c r="E85" s="128"/>
      <c r="I85" s="107"/>
      <c r="J85" s="107"/>
      <c r="K85" s="107"/>
      <c r="L85" s="107"/>
      <c r="M85" s="105"/>
      <c r="O85" s="63"/>
      <c r="P85" s="72"/>
      <c r="Q85" s="63"/>
      <c r="R85" s="80"/>
      <c r="S85" s="73"/>
      <c r="T85" s="74"/>
      <c r="U85" s="74"/>
      <c r="V85" s="75"/>
      <c r="W85" s="76"/>
      <c r="X85" s="77"/>
      <c r="Y85" s="77"/>
      <c r="Z85" s="63"/>
    </row>
    <row r="86" spans="1:26" x14ac:dyDescent="0.2">
      <c r="A86" s="127"/>
      <c r="B86" s="73"/>
      <c r="D86" s="129"/>
      <c r="E86" s="44"/>
      <c r="I86" s="107"/>
      <c r="J86" s="107"/>
      <c r="K86" s="107"/>
      <c r="L86" s="107"/>
      <c r="M86" s="105"/>
      <c r="O86" s="63"/>
      <c r="P86" s="72"/>
      <c r="Q86" s="63"/>
      <c r="R86" s="73"/>
      <c r="S86" s="73"/>
      <c r="T86" s="73"/>
      <c r="U86" s="74"/>
      <c r="V86" s="75"/>
      <c r="W86" s="76"/>
      <c r="X86" s="77"/>
      <c r="Y86" s="77"/>
      <c r="Z86" s="63"/>
    </row>
    <row r="87" spans="1:26" ht="16.5" x14ac:dyDescent="0.3">
      <c r="A87" s="235" t="s">
        <v>143</v>
      </c>
      <c r="B87" s="235"/>
      <c r="C87" s="235"/>
      <c r="D87" s="68"/>
      <c r="E87" s="68"/>
      <c r="F87" s="68"/>
      <c r="G87" s="68"/>
      <c r="H87" s="68"/>
      <c r="I87" s="107"/>
      <c r="J87" s="107"/>
      <c r="K87" s="107"/>
      <c r="L87" s="107"/>
      <c r="M87" s="105"/>
      <c r="O87" s="63"/>
      <c r="P87" s="72"/>
      <c r="Q87" s="63"/>
      <c r="R87" s="73"/>
      <c r="S87" s="73"/>
      <c r="T87" s="73"/>
      <c r="U87" s="74"/>
      <c r="V87" s="75"/>
      <c r="W87" s="76"/>
      <c r="X87" s="77"/>
      <c r="Y87" s="77"/>
      <c r="Z87" s="63"/>
    </row>
    <row r="88" spans="1:26" x14ac:dyDescent="0.2">
      <c r="A88" s="132"/>
      <c r="B88" s="132"/>
      <c r="C88" s="132"/>
      <c r="D88" s="132"/>
      <c r="E88" s="132"/>
      <c r="F88" s="132"/>
      <c r="G88" s="132"/>
      <c r="H88" s="132"/>
      <c r="I88" s="107"/>
      <c r="J88" s="107"/>
      <c r="K88" s="107"/>
      <c r="L88" s="107"/>
      <c r="M88" s="105"/>
      <c r="O88" s="63"/>
      <c r="P88" s="72"/>
      <c r="Q88" s="63"/>
      <c r="R88" s="73"/>
      <c r="S88" s="73"/>
      <c r="T88" s="73"/>
      <c r="U88" s="74"/>
      <c r="V88" s="75"/>
      <c r="W88" s="76"/>
      <c r="X88" s="77"/>
      <c r="Y88" s="77"/>
      <c r="Z88" s="63"/>
    </row>
    <row r="89" spans="1:26" x14ac:dyDescent="0.2">
      <c r="A89" s="236" t="s">
        <v>144</v>
      </c>
      <c r="B89" s="238" t="s">
        <v>145</v>
      </c>
      <c r="C89" s="238"/>
      <c r="D89" s="238"/>
      <c r="E89" s="238"/>
      <c r="F89" s="238" t="s">
        <v>146</v>
      </c>
      <c r="G89" s="238"/>
      <c r="H89" s="239"/>
      <c r="I89" s="107"/>
      <c r="J89" s="107"/>
      <c r="K89" s="107"/>
      <c r="L89" s="107"/>
      <c r="M89" s="105"/>
      <c r="O89" s="63"/>
      <c r="P89" s="63"/>
      <c r="Q89" s="63"/>
      <c r="R89" s="78"/>
      <c r="S89" s="73"/>
      <c r="T89" s="73"/>
      <c r="U89" s="79"/>
      <c r="V89" s="80"/>
      <c r="W89" s="81"/>
      <c r="X89" s="57"/>
      <c r="Y89" s="81"/>
      <c r="Z89" s="63"/>
    </row>
    <row r="90" spans="1:26" ht="15.75" x14ac:dyDescent="0.3">
      <c r="A90" s="237"/>
      <c r="B90" s="133" t="s">
        <v>148</v>
      </c>
      <c r="C90" s="22" t="s">
        <v>149</v>
      </c>
      <c r="D90" s="22" t="s">
        <v>150</v>
      </c>
      <c r="E90" s="134" t="s">
        <v>151</v>
      </c>
      <c r="F90" s="22" t="s">
        <v>152</v>
      </c>
      <c r="G90" s="134" t="s">
        <v>153</v>
      </c>
      <c r="H90" s="239"/>
      <c r="I90" s="107"/>
      <c r="J90" s="107"/>
      <c r="K90" s="107"/>
      <c r="L90" s="107"/>
      <c r="M90" s="105"/>
      <c r="O90" s="63"/>
      <c r="P90" s="63"/>
      <c r="Q90" s="63"/>
      <c r="R90" s="73"/>
      <c r="S90" s="73"/>
      <c r="T90" s="74"/>
      <c r="U90" s="74"/>
      <c r="V90" s="75"/>
      <c r="W90" s="76"/>
      <c r="X90" s="77"/>
      <c r="Y90" s="77"/>
      <c r="Z90" s="63"/>
    </row>
    <row r="91" spans="1:26" x14ac:dyDescent="0.2">
      <c r="A91" s="138" t="s">
        <v>160</v>
      </c>
      <c r="B91" s="139">
        <f>(37*29)*0.5</f>
        <v>536.5</v>
      </c>
      <c r="C91" s="140">
        <f>(37+29)*H81/2</f>
        <v>264</v>
      </c>
      <c r="D91" s="141">
        <f>B91*$B$64+C91*$E$65</f>
        <v>5884.5</v>
      </c>
      <c r="E91" s="142">
        <f>0.7*$B$36*D91</f>
        <v>4605.2097000000003</v>
      </c>
      <c r="F91" s="140">
        <f>29/2</f>
        <v>14.5</v>
      </c>
      <c r="G91" s="142">
        <f>$H$80*F91*$H$81/2</f>
        <v>290</v>
      </c>
      <c r="H91" s="87"/>
      <c r="I91" s="107"/>
      <c r="J91" s="107"/>
      <c r="K91" s="107"/>
      <c r="L91" s="107"/>
      <c r="M91" s="105"/>
      <c r="O91" s="63"/>
      <c r="P91" s="63"/>
      <c r="Q91" s="63"/>
      <c r="R91" s="73"/>
      <c r="S91" s="73"/>
      <c r="T91" s="74"/>
      <c r="U91" s="74"/>
      <c r="V91" s="75"/>
      <c r="W91" s="76"/>
      <c r="X91" s="77"/>
      <c r="Y91" s="77"/>
      <c r="Z91" s="63"/>
    </row>
    <row r="92" spans="1:26" x14ac:dyDescent="0.2">
      <c r="A92" s="138" t="s">
        <v>168</v>
      </c>
      <c r="B92" s="139">
        <f>(21*29)*0.5</f>
        <v>304.5</v>
      </c>
      <c r="C92" s="139">
        <f>(37+29)*H81</f>
        <v>528</v>
      </c>
      <c r="D92" s="141">
        <f>B92*$B$73+C92*$E$65</f>
        <v>5766</v>
      </c>
      <c r="E92" s="142">
        <f>0.7*$B$36*D92</f>
        <v>4512.4716000000008</v>
      </c>
      <c r="F92" s="140">
        <f>29/2</f>
        <v>14.5</v>
      </c>
      <c r="G92" s="142">
        <f>$H$80*F92*$H$81</f>
        <v>580</v>
      </c>
      <c r="H92" s="87"/>
      <c r="I92" s="107"/>
      <c r="J92" s="107"/>
      <c r="K92" s="107"/>
      <c r="L92" s="107"/>
      <c r="M92" s="105"/>
      <c r="O92" s="63"/>
      <c r="P92" s="63"/>
      <c r="Q92" s="63"/>
      <c r="R92" s="73"/>
      <c r="S92" s="73"/>
      <c r="T92" s="74"/>
      <c r="U92" s="74"/>
      <c r="V92" s="75"/>
      <c r="W92" s="76"/>
      <c r="X92" s="77"/>
      <c r="Y92" s="77"/>
      <c r="Z92" s="63"/>
    </row>
    <row r="93" spans="1:26" x14ac:dyDescent="0.2">
      <c r="A93" s="138" t="s">
        <v>169</v>
      </c>
      <c r="B93" s="139">
        <f>(49.5*29)*0.5</f>
        <v>717.75</v>
      </c>
      <c r="C93" s="139">
        <f>(49.5+23.5/2)*H82/2</f>
        <v>306.25</v>
      </c>
      <c r="D93" s="141">
        <f>B93*$B$64+C93*$E$65</f>
        <v>7684.75</v>
      </c>
      <c r="E93" s="142">
        <f>0.7*$B$36*D93</f>
        <v>6014.0853500000003</v>
      </c>
      <c r="F93" s="140">
        <f>23.5/2</f>
        <v>11.75</v>
      </c>
      <c r="G93" s="142">
        <f>$H$80*F93*$H$82/2</f>
        <v>293.75</v>
      </c>
      <c r="H93" s="87"/>
      <c r="I93" s="107"/>
      <c r="J93" s="107"/>
      <c r="K93" s="107"/>
      <c r="L93" s="107"/>
      <c r="M93" s="105"/>
      <c r="O93" s="63"/>
      <c r="P93" s="63"/>
      <c r="Q93" s="63"/>
      <c r="R93" s="73"/>
      <c r="S93" s="73"/>
      <c r="T93" s="74"/>
      <c r="U93" s="74"/>
      <c r="V93" s="75"/>
      <c r="W93" s="76"/>
      <c r="X93" s="77"/>
      <c r="Y93" s="77"/>
      <c r="Z93" s="63"/>
    </row>
    <row r="94" spans="1:26" x14ac:dyDescent="0.2">
      <c r="A94" s="138" t="s">
        <v>170</v>
      </c>
      <c r="B94" s="139">
        <f>(16.5*22.5)*0.5</f>
        <v>185.625</v>
      </c>
      <c r="C94" s="139">
        <f>(16.5+29/2)*H81</f>
        <v>248</v>
      </c>
      <c r="D94" s="141">
        <f>B94*$B$73+C94*$E$65</f>
        <v>3219.5</v>
      </c>
      <c r="E94" s="142">
        <f t="shared" ref="E94:E99" si="0">0.7*$B$36*D94</f>
        <v>2519.5807000000004</v>
      </c>
      <c r="F94" s="140">
        <f>29/2</f>
        <v>14.5</v>
      </c>
      <c r="G94" s="142">
        <f>$H$80*F94*$H$81</f>
        <v>580</v>
      </c>
      <c r="H94" s="87"/>
      <c r="I94" s="107"/>
      <c r="J94" s="107"/>
      <c r="K94" s="107"/>
      <c r="L94" s="107"/>
      <c r="M94" s="105"/>
      <c r="O94" s="63"/>
      <c r="P94" s="63"/>
      <c r="Q94" s="63"/>
      <c r="R94" s="73"/>
      <c r="S94" s="73"/>
      <c r="T94" s="74"/>
      <c r="U94" s="74"/>
      <c r="V94" s="75"/>
      <c r="W94" s="76"/>
      <c r="X94" s="77"/>
      <c r="Y94" s="77"/>
      <c r="Z94" s="63"/>
    </row>
    <row r="95" spans="1:26" x14ac:dyDescent="0.2">
      <c r="A95" s="138" t="s">
        <v>172</v>
      </c>
      <c r="B95" s="139">
        <f>(37*29)*0.5+(53*30)*0.5</f>
        <v>1331.5</v>
      </c>
      <c r="C95" s="140">
        <f>(53+29+29)*H81/2</f>
        <v>444</v>
      </c>
      <c r="D95" s="141">
        <f>B95*$B$64+C95*$E$65</f>
        <v>13759.5</v>
      </c>
      <c r="E95" s="142">
        <f>0.7*$B$36*D95</f>
        <v>10768.184700000002</v>
      </c>
      <c r="F95" s="140">
        <v>29</v>
      </c>
      <c r="G95" s="142">
        <f>$H$80*F95*$H$81/2</f>
        <v>580</v>
      </c>
      <c r="H95" s="87"/>
      <c r="I95" s="107"/>
      <c r="J95" s="107"/>
      <c r="K95" s="107"/>
      <c r="L95" s="107"/>
      <c r="M95" s="105"/>
      <c r="O95" s="63"/>
      <c r="P95" s="63"/>
      <c r="Q95" s="63"/>
      <c r="R95" s="73"/>
      <c r="S95" s="73"/>
      <c r="T95" s="74"/>
      <c r="U95" s="74"/>
      <c r="V95" s="75"/>
      <c r="W95" s="76"/>
      <c r="X95" s="77"/>
      <c r="Y95" s="77"/>
      <c r="Z95" s="63"/>
    </row>
    <row r="96" spans="1:26" x14ac:dyDescent="0.2">
      <c r="A96" s="138" t="s">
        <v>176</v>
      </c>
      <c r="B96" s="139">
        <f>(37*29)*0.5+(30*53)*0.5</f>
        <v>1331.5</v>
      </c>
      <c r="C96" s="140">
        <f>(53+29+29)*H81</f>
        <v>888</v>
      </c>
      <c r="D96" s="141">
        <f>B96*$B$73+C96*$E$65</f>
        <v>19530</v>
      </c>
      <c r="E96" s="142">
        <f t="shared" si="0"/>
        <v>15284.178000000002</v>
      </c>
      <c r="F96" s="140">
        <v>29</v>
      </c>
      <c r="G96" s="142">
        <f>$H$80*F96*$H$81</f>
        <v>1160</v>
      </c>
      <c r="H96" s="87"/>
      <c r="I96" s="107"/>
      <c r="J96" s="107"/>
      <c r="K96" s="107"/>
      <c r="L96" s="107"/>
      <c r="M96" s="105"/>
      <c r="O96" s="63"/>
      <c r="P96" s="63"/>
      <c r="Q96" s="63"/>
      <c r="R96" s="73"/>
      <c r="S96" s="73"/>
      <c r="T96" s="74"/>
      <c r="U96" s="74"/>
      <c r="V96" s="75"/>
      <c r="W96" s="76"/>
      <c r="X96" s="77"/>
      <c r="Y96" s="77"/>
      <c r="Z96" s="63"/>
    </row>
    <row r="97" spans="1:26" x14ac:dyDescent="0.2">
      <c r="A97" s="138" t="s">
        <v>177</v>
      </c>
      <c r="B97" s="139">
        <f>(49.5*23.5)*0.5+(34*27)*0.5</f>
        <v>1040.625</v>
      </c>
      <c r="C97" s="139">
        <f>(34+23.5/2+27/2)*H82/2</f>
        <v>296.25</v>
      </c>
      <c r="D97" s="141">
        <f>B97*$B$64+C97*$E$65</f>
        <v>10550.625</v>
      </c>
      <c r="E97" s="142">
        <f>0.7*$B$36*D97</f>
        <v>8256.9191250000003</v>
      </c>
      <c r="F97" s="140">
        <f>(23.5+27)/2</f>
        <v>25.25</v>
      </c>
      <c r="G97" s="142">
        <f>$H$80*F97*$H$82/2</f>
        <v>631.25</v>
      </c>
      <c r="H97" s="87"/>
      <c r="I97" s="107"/>
      <c r="J97" s="107"/>
      <c r="K97" s="107"/>
      <c r="L97" s="107"/>
      <c r="M97" s="105"/>
      <c r="O97" s="63"/>
      <c r="P97" s="63"/>
      <c r="Q97" s="63"/>
      <c r="R97" s="73"/>
      <c r="S97" s="73"/>
      <c r="T97" s="74"/>
      <c r="U97" s="74"/>
      <c r="V97" s="75"/>
      <c r="W97" s="76"/>
      <c r="X97" s="77"/>
      <c r="Y97" s="77"/>
      <c r="Z97" s="63"/>
    </row>
    <row r="98" spans="1:26" x14ac:dyDescent="0.2">
      <c r="A98" s="138" t="s">
        <v>178</v>
      </c>
      <c r="B98" s="139">
        <f>(17.5*8)*0.5</f>
        <v>70</v>
      </c>
      <c r="C98" s="140">
        <f>17.5*H81/2</f>
        <v>70</v>
      </c>
      <c r="D98" s="141">
        <f>B98*$B$64+C98*$E$65</f>
        <v>910</v>
      </c>
      <c r="E98" s="142">
        <f t="shared" si="0"/>
        <v>712.16600000000005</v>
      </c>
      <c r="F98" s="140">
        <v>4</v>
      </c>
      <c r="G98" s="142">
        <f>$H$80*F98*$H$81/2</f>
        <v>80</v>
      </c>
      <c r="H98" s="87"/>
      <c r="I98" s="107"/>
      <c r="J98" s="107"/>
      <c r="K98" s="107"/>
      <c r="L98" s="107"/>
      <c r="M98" s="105"/>
      <c r="O98" s="63"/>
      <c r="P98" s="63"/>
      <c r="Q98" s="63"/>
      <c r="R98" s="73"/>
      <c r="S98" s="73"/>
      <c r="T98" s="73"/>
      <c r="U98" s="73"/>
      <c r="V98" s="73"/>
      <c r="W98" s="74"/>
      <c r="X98" s="77"/>
      <c r="Y98" s="77"/>
      <c r="Z98" s="63"/>
    </row>
    <row r="99" spans="1:26" x14ac:dyDescent="0.2">
      <c r="A99" s="138" t="s">
        <v>179</v>
      </c>
      <c r="B99" s="139">
        <f>(17.5*8)*0.5</f>
        <v>70</v>
      </c>
      <c r="C99" s="140">
        <f>17.5*H81/2</f>
        <v>70</v>
      </c>
      <c r="D99" s="141">
        <f>B99*$B$73+C99*$E$65</f>
        <v>1120</v>
      </c>
      <c r="E99" s="142">
        <f t="shared" si="0"/>
        <v>876.51200000000006</v>
      </c>
      <c r="F99" s="140">
        <v>4</v>
      </c>
      <c r="G99" s="142">
        <f>$H$80*F99*$H$81</f>
        <v>160</v>
      </c>
      <c r="H99" s="87"/>
      <c r="I99" s="107"/>
      <c r="J99" s="107"/>
      <c r="K99" s="107"/>
      <c r="L99" s="107"/>
      <c r="M99" s="105"/>
      <c r="O99" s="63"/>
      <c r="P99" s="63"/>
      <c r="Q99" s="63"/>
      <c r="R99" s="73"/>
      <c r="S99" s="73"/>
      <c r="T99" s="73"/>
      <c r="U99" s="73"/>
      <c r="V99" s="73"/>
      <c r="W99" s="74"/>
      <c r="X99" s="77"/>
      <c r="Y99" s="77"/>
      <c r="Z99" s="63"/>
    </row>
    <row r="100" spans="1:26" x14ac:dyDescent="0.2">
      <c r="A100" s="138" t="s">
        <v>180</v>
      </c>
      <c r="B100" s="139">
        <f>(34*8)*0.5+(34*27)*0.5</f>
        <v>595</v>
      </c>
      <c r="C100" s="139">
        <f>(34+8/2+27/2)*H82/2</f>
        <v>257.5</v>
      </c>
      <c r="D100" s="141">
        <f>B100*$B$64+C100*$E$65</f>
        <v>6385</v>
      </c>
      <c r="E100" s="142">
        <f>0.7*$B$36*D100</f>
        <v>4996.9010000000007</v>
      </c>
      <c r="F100" s="140">
        <f>(8+27)/2</f>
        <v>17.5</v>
      </c>
      <c r="G100" s="142">
        <f>$H$80*F100*$H$82/2</f>
        <v>437.5</v>
      </c>
      <c r="H100" s="87"/>
      <c r="I100" s="107"/>
      <c r="J100" s="107"/>
      <c r="K100" s="107"/>
      <c r="L100" s="107"/>
      <c r="M100" s="107"/>
      <c r="O100" s="63"/>
      <c r="P100" s="63"/>
      <c r="Q100" s="63"/>
      <c r="R100" s="78"/>
      <c r="S100" s="73"/>
      <c r="T100" s="73"/>
      <c r="U100" s="79"/>
      <c r="V100" s="80"/>
      <c r="W100" s="81"/>
      <c r="X100" s="57"/>
      <c r="Y100" s="81"/>
      <c r="Z100" s="63"/>
    </row>
    <row r="101" spans="1:26" x14ac:dyDescent="0.2">
      <c r="A101" s="138" t="s">
        <v>181</v>
      </c>
      <c r="B101" s="139">
        <f>(53*30)*0.5+(53*18.5)*0.5</f>
        <v>1285.25</v>
      </c>
      <c r="C101" s="140">
        <f>(53+30+18.5)*H81/2</f>
        <v>406</v>
      </c>
      <c r="D101" s="141">
        <f>B101*$B$64+C101*$E$65</f>
        <v>13191.25</v>
      </c>
      <c r="E101" s="142">
        <f>0.7*$B$36*D101</f>
        <v>10323.472250000001</v>
      </c>
      <c r="F101" s="140">
        <f>(30+18.5)/2</f>
        <v>24.25</v>
      </c>
      <c r="G101" s="142">
        <f>$H$80*F101*$H$81/2</f>
        <v>485</v>
      </c>
      <c r="H101" s="87"/>
      <c r="I101" s="107"/>
      <c r="J101" s="107"/>
      <c r="K101" s="107"/>
      <c r="L101" s="107"/>
      <c r="M101" s="73"/>
      <c r="O101" s="63"/>
      <c r="P101" s="63"/>
      <c r="Q101" s="63"/>
      <c r="R101" s="114"/>
      <c r="S101" s="63"/>
      <c r="T101" s="63"/>
      <c r="U101" s="63"/>
      <c r="V101" s="63"/>
      <c r="W101" s="63"/>
      <c r="X101" s="63"/>
      <c r="Y101" s="63"/>
      <c r="Z101" s="63"/>
    </row>
    <row r="102" spans="1:26" x14ac:dyDescent="0.2">
      <c r="A102" s="138" t="s">
        <v>182</v>
      </c>
      <c r="B102" s="139">
        <f>(53*30)*0.5+(53*18.5)*0.5</f>
        <v>1285.25</v>
      </c>
      <c r="C102" s="140">
        <f>(53+30+18.5)*H81</f>
        <v>812</v>
      </c>
      <c r="D102" s="141">
        <f>B102*$B$73+C102*$E$65</f>
        <v>18671</v>
      </c>
      <c r="E102" s="142">
        <f>0.7*$B$36*D102</f>
        <v>14611.924600000002</v>
      </c>
      <c r="F102" s="140">
        <f>(30+18.5)/2</f>
        <v>24.25</v>
      </c>
      <c r="G102" s="142">
        <f>$H$80*F102*$H$81</f>
        <v>970</v>
      </c>
      <c r="H102" s="87"/>
      <c r="I102" s="107"/>
      <c r="J102" s="107"/>
      <c r="K102" s="107"/>
      <c r="L102" s="107"/>
      <c r="M102" s="105"/>
      <c r="O102" s="63"/>
      <c r="P102" s="63"/>
      <c r="Q102" s="63"/>
      <c r="R102" s="80"/>
      <c r="S102" s="73"/>
      <c r="T102" s="73"/>
      <c r="U102" s="74"/>
      <c r="V102" s="75"/>
      <c r="W102" s="74"/>
      <c r="X102" s="77"/>
      <c r="Y102" s="63"/>
      <c r="Z102" s="63"/>
    </row>
    <row r="103" spans="1:26" x14ac:dyDescent="0.2">
      <c r="A103" s="138" t="s">
        <v>183</v>
      </c>
      <c r="B103" s="139">
        <f>(18*8)*0.5</f>
        <v>72</v>
      </c>
      <c r="C103" s="140">
        <f>(8+8/2)*H81</f>
        <v>96</v>
      </c>
      <c r="D103" s="141">
        <f>B103*$B$73+C103*$E$65</f>
        <v>1248</v>
      </c>
      <c r="E103" s="142">
        <f>0.7*$B$36*D103</f>
        <v>976.68480000000011</v>
      </c>
      <c r="F103" s="140">
        <f>(8)/2</f>
        <v>4</v>
      </c>
      <c r="G103" s="142">
        <f>$H$80*F103*$H$81</f>
        <v>160</v>
      </c>
      <c r="H103" s="87"/>
      <c r="I103" s="107"/>
      <c r="J103" s="107"/>
      <c r="K103" s="107"/>
      <c r="L103" s="107"/>
      <c r="M103" s="105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x14ac:dyDescent="0.2">
      <c r="A104" s="138" t="s">
        <v>184</v>
      </c>
      <c r="B104" s="139">
        <f>(53*18.5)*0.5+(37.5*19)*0.5</f>
        <v>846.5</v>
      </c>
      <c r="C104" s="140">
        <f>(53+18.5+19)*H81/2</f>
        <v>362</v>
      </c>
      <c r="D104" s="141">
        <f>B104*$B$64+C104*$E$65</f>
        <v>9066.5</v>
      </c>
      <c r="E104" s="142">
        <f t="shared" ref="E104:E105" si="1">0.7*$B$36*D104</f>
        <v>7095.4429000000009</v>
      </c>
      <c r="F104" s="140">
        <f>(18.5+19)/2</f>
        <v>18.75</v>
      </c>
      <c r="G104" s="142">
        <f>$H$80*F104*$H$81/2</f>
        <v>375</v>
      </c>
      <c r="H104" s="87"/>
      <c r="I104" s="107"/>
      <c r="J104" s="107"/>
      <c r="K104" s="107"/>
      <c r="L104" s="107"/>
      <c r="M104" s="105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x14ac:dyDescent="0.2">
      <c r="A105" s="138" t="s">
        <v>185</v>
      </c>
      <c r="B105" s="139">
        <f>(53*18.5)*0.5+(37.5*19)*0.5+(32*19)*0.5</f>
        <v>1150.5</v>
      </c>
      <c r="C105" s="140">
        <f>(53+18.5+19+16.5)*H81</f>
        <v>856</v>
      </c>
      <c r="D105" s="141">
        <f>B105*$B$73+C105*$E$65</f>
        <v>17230</v>
      </c>
      <c r="E105" s="142">
        <f t="shared" si="1"/>
        <v>13484.198000000002</v>
      </c>
      <c r="F105" s="140">
        <f>(18.5+19)/2</f>
        <v>18.75</v>
      </c>
      <c r="G105" s="142">
        <f>$H$80*F105*$H$81</f>
        <v>750</v>
      </c>
      <c r="H105" s="87"/>
      <c r="I105" s="107"/>
      <c r="J105" s="107"/>
      <c r="K105" s="107"/>
      <c r="L105" s="107"/>
      <c r="M105" s="105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x14ac:dyDescent="0.2">
      <c r="A106" s="138"/>
      <c r="B106" s="139"/>
      <c r="C106" s="140"/>
      <c r="D106" s="141"/>
      <c r="E106" s="142"/>
      <c r="F106" s="140"/>
      <c r="G106" s="142"/>
      <c r="H106" s="87"/>
      <c r="I106" s="107"/>
      <c r="J106" s="107"/>
      <c r="K106" s="107"/>
      <c r="L106" s="107"/>
      <c r="M106" s="105"/>
      <c r="O106" s="63"/>
      <c r="P106" s="63"/>
      <c r="Q106" s="63"/>
      <c r="R106" s="226"/>
      <c r="S106" s="226"/>
      <c r="T106" s="226"/>
      <c r="U106" s="226"/>
      <c r="V106" s="226"/>
      <c r="W106" s="226"/>
      <c r="X106" s="226"/>
      <c r="Y106" s="226"/>
      <c r="Z106" s="63"/>
    </row>
    <row r="107" spans="1:26" x14ac:dyDescent="0.2">
      <c r="A107" s="138" t="s">
        <v>186</v>
      </c>
      <c r="B107" s="139">
        <f>(37.5*19)*0.5</f>
        <v>356.25</v>
      </c>
      <c r="C107" s="140">
        <f>(37.5+19)*H81/2</f>
        <v>226</v>
      </c>
      <c r="D107" s="141">
        <f>B107*$B$64+C107*$E$65</f>
        <v>4110.25</v>
      </c>
      <c r="E107" s="142">
        <f>0.7*$B$36*D107</f>
        <v>3216.6816500000004</v>
      </c>
      <c r="F107" s="140">
        <f>19/2</f>
        <v>9.5</v>
      </c>
      <c r="G107" s="142">
        <f>$H$80*F107*$H$81/2</f>
        <v>190</v>
      </c>
      <c r="H107" s="87"/>
      <c r="O107" s="63"/>
      <c r="P107" s="63"/>
      <c r="Q107" s="63"/>
      <c r="R107" s="114"/>
      <c r="S107" s="63"/>
      <c r="T107" s="63"/>
      <c r="U107" s="63"/>
      <c r="V107" s="63"/>
      <c r="W107" s="63"/>
      <c r="X107" s="63"/>
      <c r="Y107" s="63"/>
      <c r="Z107" s="63"/>
    </row>
    <row r="108" spans="1:26" x14ac:dyDescent="0.2">
      <c r="A108" s="138" t="s">
        <v>187</v>
      </c>
      <c r="B108" s="139">
        <f>(37.5*19)*0.5+(32*19)*0.5</f>
        <v>660.25</v>
      </c>
      <c r="C108" s="140">
        <f>(37+19+16.5+19/2)*H81</f>
        <v>656</v>
      </c>
      <c r="D108" s="141">
        <f>B108*$B$73+C108*$E$65</f>
        <v>10547</v>
      </c>
      <c r="E108" s="142">
        <f>0.7*$B$36*D108</f>
        <v>8254.0822000000007</v>
      </c>
      <c r="F108" s="140">
        <f>19/2</f>
        <v>9.5</v>
      </c>
      <c r="G108" s="142">
        <f>$H$80*F108*$H$81</f>
        <v>380</v>
      </c>
      <c r="H108" s="87"/>
      <c r="O108" s="63"/>
      <c r="P108" s="63"/>
      <c r="Q108" s="63"/>
      <c r="R108" s="226"/>
      <c r="S108" s="226"/>
      <c r="T108" s="226"/>
      <c r="U108" s="226"/>
      <c r="V108" s="226"/>
      <c r="W108" s="226"/>
      <c r="X108" s="226"/>
      <c r="Y108" s="226"/>
      <c r="Z108" s="63"/>
    </row>
    <row r="109" spans="1:26" ht="15.75" customHeight="1" x14ac:dyDescent="0.2">
      <c r="A109" s="138" t="s">
        <v>188</v>
      </c>
      <c r="B109" s="139">
        <f>0</f>
        <v>0</v>
      </c>
      <c r="C109" s="140">
        <f>(18+45/2)*H82/2</f>
        <v>202.5</v>
      </c>
      <c r="D109" s="141">
        <f>B109*$B$64+C109*$E$65</f>
        <v>810</v>
      </c>
      <c r="E109" s="142">
        <f>0.7*$B$36*D109</f>
        <v>633.90600000000006</v>
      </c>
      <c r="F109" s="140">
        <f>(45)/2</f>
        <v>22.5</v>
      </c>
      <c r="G109" s="142">
        <f>$H$80*F109*$H$82/2</f>
        <v>562.5</v>
      </c>
      <c r="H109" s="87"/>
      <c r="O109" s="63"/>
      <c r="P109" s="72"/>
      <c r="Q109" s="63"/>
      <c r="R109" s="80"/>
      <c r="S109" s="80"/>
      <c r="T109" s="80"/>
      <c r="U109" s="63"/>
      <c r="V109" s="80"/>
      <c r="W109" s="80"/>
      <c r="X109" s="226"/>
      <c r="Y109" s="226"/>
      <c r="Z109" s="63"/>
    </row>
    <row r="110" spans="1:26" ht="15.75" customHeight="1" x14ac:dyDescent="0.2">
      <c r="A110" s="140"/>
      <c r="B110" s="139"/>
      <c r="C110" s="140"/>
      <c r="D110" s="141"/>
      <c r="E110" s="142"/>
      <c r="F110" s="140"/>
      <c r="G110" s="142"/>
      <c r="H110" s="87"/>
      <c r="O110" s="63"/>
      <c r="P110" s="63"/>
      <c r="Q110" s="63"/>
      <c r="R110" s="63"/>
      <c r="S110" s="80"/>
      <c r="T110" s="80"/>
      <c r="U110" s="80"/>
      <c r="V110" s="80"/>
      <c r="W110" s="80"/>
      <c r="X110" s="80"/>
      <c r="Y110" s="80"/>
      <c r="Z110" s="63"/>
    </row>
    <row r="111" spans="1:26" x14ac:dyDescent="0.2">
      <c r="A111" s="138" t="s">
        <v>189</v>
      </c>
      <c r="B111" s="139">
        <f>(30*16)*0.5</f>
        <v>240</v>
      </c>
      <c r="C111" s="140">
        <f>(30+3*16/2)*8/2</f>
        <v>216</v>
      </c>
      <c r="D111" s="141">
        <f>B111*$B$73+C111*$E$65+B111*$B$76*0.25</f>
        <v>4944</v>
      </c>
      <c r="E111" s="142">
        <f>0.7*$B$36*D111</f>
        <v>3869.1744000000003</v>
      </c>
      <c r="F111" s="140">
        <v>8</v>
      </c>
      <c r="G111" s="142">
        <f t="shared" ref="G111:G118" si="2">$H$80*F111*$H$81/2</f>
        <v>160</v>
      </c>
      <c r="H111" s="87"/>
      <c r="O111" s="63"/>
      <c r="P111" s="63"/>
      <c r="Q111" s="63"/>
      <c r="R111" s="80"/>
      <c r="S111" s="73"/>
      <c r="T111" s="74"/>
      <c r="U111" s="74"/>
      <c r="V111" s="75"/>
      <c r="W111" s="76"/>
      <c r="X111" s="77"/>
      <c r="Y111" s="77"/>
      <c r="Z111" s="63"/>
    </row>
    <row r="112" spans="1:26" x14ac:dyDescent="0.2">
      <c r="A112" s="138" t="s">
        <v>190</v>
      </c>
      <c r="B112" s="139">
        <f>30*40*0.5</f>
        <v>600</v>
      </c>
      <c r="C112" s="140">
        <f>(12+2*40/2+16/2)*8/2</f>
        <v>240</v>
      </c>
      <c r="D112" s="141">
        <f>B112*$B$73+C112*$E$65+B112*$B$76*0.25</f>
        <v>11160</v>
      </c>
      <c r="E112" s="142">
        <f>0.7*$B$36*D112</f>
        <v>8733.8160000000007</v>
      </c>
      <c r="F112" s="160">
        <v>20</v>
      </c>
      <c r="G112" s="142">
        <f t="shared" si="2"/>
        <v>400</v>
      </c>
      <c r="H112" s="87"/>
      <c r="O112" s="63"/>
      <c r="P112" s="63"/>
      <c r="Q112" s="63"/>
      <c r="R112" s="73"/>
      <c r="S112" s="73"/>
      <c r="T112" s="74"/>
      <c r="U112" s="74"/>
      <c r="V112" s="75"/>
      <c r="W112" s="76"/>
      <c r="X112" s="77"/>
      <c r="Y112" s="77"/>
      <c r="Z112" s="63"/>
    </row>
    <row r="113" spans="1:26" x14ac:dyDescent="0.2">
      <c r="A113" s="138" t="s">
        <v>191</v>
      </c>
      <c r="B113" s="139">
        <f>(30*24)*0.5</f>
        <v>360</v>
      </c>
      <c r="C113" s="140">
        <f>(15+2*20/2+20/2)*8/2</f>
        <v>180</v>
      </c>
      <c r="D113" s="141">
        <f>B113*$B$73+C113*$E$65+B113*$B$76*0.25</f>
        <v>6840</v>
      </c>
      <c r="E113" s="142">
        <f>0.7*$B$36*D113</f>
        <v>5352.9840000000004</v>
      </c>
      <c r="F113" s="161">
        <v>12</v>
      </c>
      <c r="G113" s="142">
        <f t="shared" si="2"/>
        <v>240</v>
      </c>
      <c r="H113" s="87"/>
      <c r="O113" s="63"/>
      <c r="P113" s="63"/>
      <c r="Q113" s="63"/>
      <c r="R113" s="73"/>
      <c r="S113" s="73"/>
      <c r="T113" s="73"/>
      <c r="U113" s="73"/>
      <c r="V113" s="73"/>
      <c r="W113" s="74"/>
      <c r="X113" s="77"/>
      <c r="Y113" s="77"/>
      <c r="Z113" s="63"/>
    </row>
    <row r="114" spans="1:26" x14ac:dyDescent="0.2">
      <c r="A114" s="138" t="s">
        <v>192</v>
      </c>
      <c r="B114" s="139">
        <v>0</v>
      </c>
      <c r="C114" s="140">
        <v>0</v>
      </c>
      <c r="D114" s="141">
        <f>B114*$H$66+C114*$E$65</f>
        <v>0</v>
      </c>
      <c r="E114" s="142">
        <f>0.7*$B$36*D114</f>
        <v>0</v>
      </c>
      <c r="F114" s="140">
        <v>0</v>
      </c>
      <c r="G114" s="142">
        <f t="shared" si="2"/>
        <v>0</v>
      </c>
      <c r="H114" s="87"/>
      <c r="I114" s="80"/>
      <c r="O114" s="63"/>
      <c r="P114" s="63"/>
      <c r="Q114" s="63"/>
      <c r="R114" s="78"/>
      <c r="S114" s="73"/>
      <c r="T114" s="73"/>
      <c r="U114" s="79"/>
      <c r="V114" s="80"/>
      <c r="W114" s="81"/>
      <c r="X114" s="57"/>
      <c r="Y114" s="81"/>
      <c r="Z114" s="63"/>
    </row>
    <row r="115" spans="1:26" x14ac:dyDescent="0.2">
      <c r="A115" s="138" t="s">
        <v>193</v>
      </c>
      <c r="B115" s="139">
        <v>0</v>
      </c>
      <c r="C115" s="140">
        <v>0</v>
      </c>
      <c r="D115" s="141">
        <f>B115*$H$66+C115*$E$65</f>
        <v>0</v>
      </c>
      <c r="E115" s="142">
        <f>0.7*$B$36*D115</f>
        <v>0</v>
      </c>
      <c r="F115" s="138">
        <v>0</v>
      </c>
      <c r="G115" s="142">
        <f t="shared" si="2"/>
        <v>0</v>
      </c>
      <c r="H115" s="87"/>
      <c r="I115" s="166"/>
      <c r="O115" s="63"/>
      <c r="P115" s="63"/>
      <c r="Q115" s="63"/>
      <c r="R115" s="114"/>
      <c r="S115" s="63"/>
      <c r="T115" s="63"/>
      <c r="U115" s="63"/>
      <c r="V115" s="63"/>
      <c r="W115" s="63"/>
      <c r="X115" s="63"/>
      <c r="Y115" s="63"/>
      <c r="Z115" s="63"/>
    </row>
    <row r="116" spans="1:26" x14ac:dyDescent="0.2">
      <c r="A116" s="138" t="s">
        <v>194</v>
      </c>
      <c r="B116" s="162">
        <v>0</v>
      </c>
      <c r="C116" s="140">
        <v>0</v>
      </c>
      <c r="D116" s="141">
        <f>B116*$H$66+C116*$E$65</f>
        <v>0</v>
      </c>
      <c r="E116" s="142">
        <f t="shared" ref="E116:E118" si="3">0.7*$B$36*D116</f>
        <v>0</v>
      </c>
      <c r="F116" s="138">
        <v>0</v>
      </c>
      <c r="G116" s="142">
        <f t="shared" si="2"/>
        <v>0</v>
      </c>
      <c r="H116" s="87"/>
      <c r="I116" s="166"/>
      <c r="O116" s="63"/>
      <c r="P116" s="63"/>
      <c r="Q116" s="63"/>
      <c r="R116" s="80"/>
      <c r="S116" s="73"/>
      <c r="T116" s="73"/>
      <c r="U116" s="74"/>
      <c r="V116" s="75"/>
      <c r="W116" s="74"/>
      <c r="X116" s="77"/>
      <c r="Y116" s="63"/>
      <c r="Z116" s="63"/>
    </row>
    <row r="117" spans="1:26" x14ac:dyDescent="0.2">
      <c r="A117" s="138" t="s">
        <v>195</v>
      </c>
      <c r="B117" s="139">
        <v>0</v>
      </c>
      <c r="C117" s="140">
        <v>0</v>
      </c>
      <c r="D117" s="141">
        <f>B117*$H$66+C117*$E$65</f>
        <v>0</v>
      </c>
      <c r="E117" s="142">
        <f t="shared" si="3"/>
        <v>0</v>
      </c>
      <c r="F117" s="138">
        <v>0</v>
      </c>
      <c r="G117" s="142">
        <f t="shared" si="2"/>
        <v>0</v>
      </c>
      <c r="H117" s="87"/>
      <c r="I117" s="166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x14ac:dyDescent="0.2">
      <c r="A118" s="138" t="s">
        <v>195</v>
      </c>
      <c r="B118" s="139">
        <v>0</v>
      </c>
      <c r="C118" s="140">
        <v>0</v>
      </c>
      <c r="D118" s="141">
        <f>B118*$H$66+C118*$E$65</f>
        <v>0</v>
      </c>
      <c r="E118" s="142">
        <f t="shared" si="3"/>
        <v>0</v>
      </c>
      <c r="F118" s="138">
        <v>0</v>
      </c>
      <c r="G118" s="142">
        <f t="shared" si="2"/>
        <v>0</v>
      </c>
      <c r="H118" s="87"/>
      <c r="I118" s="166"/>
      <c r="O118" s="63"/>
      <c r="P118" s="63"/>
      <c r="Q118" s="63"/>
      <c r="R118" s="226"/>
      <c r="S118" s="226"/>
      <c r="T118" s="226"/>
      <c r="U118" s="226"/>
      <c r="V118" s="226"/>
      <c r="W118" s="226"/>
      <c r="X118" s="226"/>
      <c r="Y118" s="226"/>
      <c r="Z118" s="63"/>
    </row>
    <row r="119" spans="1:26" x14ac:dyDescent="0.2">
      <c r="A119" s="87"/>
      <c r="B119" s="87"/>
      <c r="C119" s="87"/>
      <c r="D119" s="67"/>
      <c r="E119" s="67"/>
      <c r="F119" s="87"/>
      <c r="G119" s="67"/>
      <c r="H119" s="68"/>
      <c r="I119" s="166"/>
      <c r="O119" s="63"/>
      <c r="P119" s="63"/>
      <c r="Q119" s="63"/>
      <c r="R119" s="80"/>
      <c r="S119" s="80"/>
      <c r="T119" s="80"/>
      <c r="U119" s="80"/>
      <c r="V119" s="80"/>
      <c r="W119" s="80"/>
      <c r="X119" s="80"/>
      <c r="Y119" s="80"/>
      <c r="Z119" s="63"/>
    </row>
    <row r="120" spans="1:26" x14ac:dyDescent="0.2">
      <c r="A120" s="80"/>
      <c r="B120" s="73"/>
      <c r="C120" s="73"/>
      <c r="D120" s="74"/>
      <c r="E120" s="74"/>
      <c r="F120" s="73"/>
      <c r="G120" s="74"/>
      <c r="I120" s="166"/>
      <c r="O120" s="63"/>
      <c r="P120" s="63"/>
      <c r="Q120" s="63"/>
      <c r="R120" s="80"/>
      <c r="S120" s="80"/>
      <c r="T120" s="80"/>
      <c r="U120" s="80"/>
      <c r="V120" s="80"/>
      <c r="W120" s="80"/>
      <c r="X120" s="80"/>
      <c r="Y120" s="80"/>
      <c r="Z120" s="63"/>
    </row>
    <row r="121" spans="1:26" x14ac:dyDescent="0.2">
      <c r="I121" s="166"/>
      <c r="O121" s="63"/>
      <c r="P121" s="63"/>
      <c r="Q121" s="63"/>
      <c r="R121" s="80"/>
      <c r="S121" s="80"/>
      <c r="T121" s="80"/>
      <c r="U121" s="80"/>
      <c r="V121" s="80"/>
      <c r="W121" s="80"/>
      <c r="X121" s="80"/>
      <c r="Y121" s="80"/>
      <c r="Z121" s="63"/>
    </row>
    <row r="122" spans="1:26" x14ac:dyDescent="0.2">
      <c r="A122" s="228" t="s">
        <v>196</v>
      </c>
      <c r="B122" s="228"/>
      <c r="C122" s="228"/>
      <c r="D122" s="228"/>
      <c r="E122" s="68"/>
      <c r="F122" s="68"/>
      <c r="G122" s="68"/>
      <c r="H122" s="68"/>
      <c r="I122" s="166"/>
      <c r="O122" s="63"/>
      <c r="P122" s="63"/>
      <c r="Q122" s="63"/>
      <c r="R122" s="80"/>
      <c r="S122" s="80"/>
      <c r="T122" s="80"/>
      <c r="U122" s="63"/>
      <c r="V122" s="80"/>
      <c r="W122" s="80"/>
      <c r="X122" s="226"/>
      <c r="Y122" s="226"/>
      <c r="Z122" s="63"/>
    </row>
    <row r="123" spans="1:26" x14ac:dyDescent="0.2">
      <c r="A123" s="228" t="s">
        <v>197</v>
      </c>
      <c r="B123" s="228"/>
      <c r="C123" s="228"/>
      <c r="D123" s="163"/>
      <c r="E123" s="68"/>
      <c r="F123" s="68"/>
      <c r="G123" s="68"/>
      <c r="H123" s="68"/>
      <c r="I123" s="166"/>
      <c r="O123" s="63"/>
      <c r="P123" s="72"/>
      <c r="Q123" s="63"/>
      <c r="R123" s="114"/>
      <c r="S123" s="63"/>
      <c r="T123" s="63"/>
      <c r="U123" s="63"/>
      <c r="V123" s="63"/>
      <c r="W123" s="63"/>
      <c r="X123" s="63"/>
      <c r="Y123" s="63"/>
      <c r="Z123" s="63"/>
    </row>
    <row r="124" spans="1:26" x14ac:dyDescent="0.2">
      <c r="A124" s="68"/>
      <c r="B124" s="68"/>
      <c r="C124" s="68"/>
      <c r="D124" s="68"/>
      <c r="E124" s="69"/>
      <c r="F124" s="69"/>
      <c r="G124" s="69"/>
      <c r="H124" s="68"/>
      <c r="I124" s="166"/>
      <c r="O124" s="63"/>
      <c r="P124" s="72"/>
      <c r="Q124" s="63"/>
      <c r="R124" s="80"/>
      <c r="S124" s="73"/>
      <c r="T124" s="73"/>
      <c r="U124" s="74"/>
      <c r="V124" s="75"/>
      <c r="W124" s="74"/>
      <c r="X124" s="77"/>
      <c r="Y124" s="63"/>
      <c r="Z124" s="63"/>
    </row>
    <row r="125" spans="1:26" x14ac:dyDescent="0.2">
      <c r="A125" s="229" t="s">
        <v>144</v>
      </c>
      <c r="B125" s="230" t="s">
        <v>198</v>
      </c>
      <c r="C125" s="225" t="s">
        <v>199</v>
      </c>
      <c r="D125" s="225"/>
      <c r="E125" s="69"/>
      <c r="F125" s="69"/>
      <c r="G125" s="69"/>
      <c r="H125" s="68"/>
      <c r="I125" s="166"/>
      <c r="O125" s="63"/>
      <c r="P125" s="72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5.75" x14ac:dyDescent="0.3">
      <c r="A126" s="229"/>
      <c r="B126" s="230"/>
      <c r="C126" s="37" t="s">
        <v>200</v>
      </c>
      <c r="D126" s="37" t="s">
        <v>201</v>
      </c>
      <c r="E126" s="22" t="s">
        <v>202</v>
      </c>
      <c r="F126" s="165" t="s">
        <v>203</v>
      </c>
      <c r="G126" s="22" t="s">
        <v>204</v>
      </c>
      <c r="H126" s="68"/>
      <c r="I126" s="166"/>
      <c r="O126" s="63"/>
      <c r="P126" s="72"/>
      <c r="Q126" s="63"/>
      <c r="R126" s="226"/>
      <c r="S126" s="226"/>
      <c r="T126" s="226"/>
      <c r="U126" s="226"/>
      <c r="V126" s="226"/>
      <c r="W126" s="226"/>
      <c r="X126" s="226"/>
      <c r="Y126" s="226"/>
      <c r="Z126" s="63"/>
    </row>
    <row r="127" spans="1:26" x14ac:dyDescent="0.2">
      <c r="A127" s="22" t="str">
        <f t="shared" ref="A127:A132" si="4">A91</f>
        <v>A-2nd flr</v>
      </c>
      <c r="B127" s="37">
        <v>20</v>
      </c>
      <c r="C127" s="37">
        <v>8</v>
      </c>
      <c r="D127" s="88">
        <f>2*B127/C127</f>
        <v>5</v>
      </c>
      <c r="E127" s="37">
        <f>IF(D127&lt;2,1.3,1)</f>
        <v>1</v>
      </c>
      <c r="F127" s="141">
        <f t="shared" ref="F127:F132" si="5">E127*E91</f>
        <v>4605.2097000000003</v>
      </c>
      <c r="G127" s="141">
        <f t="shared" ref="G127:G132" si="6">G91</f>
        <v>290</v>
      </c>
      <c r="H127" s="68"/>
      <c r="I127" s="166"/>
      <c r="O127" s="63"/>
      <c r="P127" s="72"/>
      <c r="Q127" s="63"/>
      <c r="R127" s="80"/>
      <c r="S127" s="80"/>
      <c r="T127" s="80"/>
      <c r="U127" s="63"/>
      <c r="V127" s="80"/>
      <c r="W127" s="80"/>
      <c r="X127" s="226"/>
      <c r="Y127" s="226"/>
      <c r="Z127" s="63"/>
    </row>
    <row r="128" spans="1:26" x14ac:dyDescent="0.2">
      <c r="A128" s="22" t="str">
        <f t="shared" si="4"/>
        <v>A-1st flr</v>
      </c>
      <c r="B128" s="37">
        <v>37</v>
      </c>
      <c r="C128" s="37">
        <v>8</v>
      </c>
      <c r="D128" s="88">
        <f t="shared" ref="D128:D134" si="7">2*B128/C128</f>
        <v>9.25</v>
      </c>
      <c r="E128" s="37">
        <f t="shared" ref="E128:E134" si="8">IF(D128&lt;2,1.3,1)</f>
        <v>1</v>
      </c>
      <c r="F128" s="141">
        <f t="shared" si="5"/>
        <v>4512.4716000000008</v>
      </c>
      <c r="G128" s="141">
        <f t="shared" si="6"/>
        <v>580</v>
      </c>
      <c r="H128" s="68"/>
      <c r="I128" s="166"/>
      <c r="O128" s="63"/>
      <c r="P128" s="72"/>
      <c r="Q128" s="63"/>
      <c r="R128" s="80"/>
      <c r="S128" s="80"/>
      <c r="T128" s="80"/>
      <c r="U128" s="63"/>
      <c r="V128" s="80"/>
      <c r="W128" s="80"/>
      <c r="X128" s="80"/>
      <c r="Y128" s="80"/>
      <c r="Z128" s="63"/>
    </row>
    <row r="129" spans="1:26" x14ac:dyDescent="0.2">
      <c r="A129" s="22" t="str">
        <f t="shared" si="4"/>
        <v>A @ 10' walls</v>
      </c>
      <c r="B129" s="37">
        <v>12</v>
      </c>
      <c r="C129" s="37">
        <v>10</v>
      </c>
      <c r="D129" s="88">
        <f t="shared" si="7"/>
        <v>2.4</v>
      </c>
      <c r="E129" s="37">
        <f t="shared" si="8"/>
        <v>1</v>
      </c>
      <c r="F129" s="141">
        <f t="shared" si="5"/>
        <v>6014.0853500000003</v>
      </c>
      <c r="G129" s="141">
        <f t="shared" si="6"/>
        <v>293.75</v>
      </c>
      <c r="H129" s="68"/>
      <c r="I129" s="166"/>
      <c r="O129" s="63"/>
      <c r="P129" s="72"/>
      <c r="Q129" s="63"/>
      <c r="R129" s="80"/>
      <c r="S129" s="80"/>
      <c r="T129" s="80"/>
      <c r="U129" s="63"/>
      <c r="V129" s="80"/>
      <c r="W129" s="80"/>
      <c r="X129" s="80"/>
      <c r="Y129" s="80"/>
      <c r="Z129" s="63"/>
    </row>
    <row r="130" spans="1:26" x14ac:dyDescent="0.2">
      <c r="A130" s="22" t="str">
        <f t="shared" si="4"/>
        <v>B-1st flr</v>
      </c>
      <c r="B130" s="37">
        <v>16</v>
      </c>
      <c r="C130" s="37">
        <v>8</v>
      </c>
      <c r="D130" s="88">
        <f t="shared" si="7"/>
        <v>4</v>
      </c>
      <c r="E130" s="37">
        <f t="shared" si="8"/>
        <v>1</v>
      </c>
      <c r="F130" s="141">
        <f t="shared" si="5"/>
        <v>2519.5807000000004</v>
      </c>
      <c r="G130" s="141">
        <f t="shared" si="6"/>
        <v>580</v>
      </c>
      <c r="H130" s="68"/>
      <c r="I130" s="166"/>
      <c r="O130" s="63"/>
      <c r="P130" s="72"/>
      <c r="Q130" s="63"/>
      <c r="R130" s="63"/>
      <c r="S130" s="80"/>
      <c r="T130" s="80"/>
      <c r="U130" s="80"/>
      <c r="V130" s="80"/>
      <c r="W130" s="80"/>
      <c r="X130" s="80"/>
      <c r="Y130" s="80"/>
      <c r="Z130" s="63"/>
    </row>
    <row r="131" spans="1:26" ht="15.75" customHeight="1" x14ac:dyDescent="0.2">
      <c r="A131" s="22" t="str">
        <f t="shared" si="4"/>
        <v>C-2nd flr</v>
      </c>
      <c r="B131" s="37">
        <v>8</v>
      </c>
      <c r="C131" s="37">
        <v>8</v>
      </c>
      <c r="D131" s="88">
        <f t="shared" si="7"/>
        <v>2</v>
      </c>
      <c r="E131" s="37">
        <f t="shared" si="8"/>
        <v>1</v>
      </c>
      <c r="F131" s="141">
        <f t="shared" si="5"/>
        <v>10768.184700000002</v>
      </c>
      <c r="G131" s="141">
        <f t="shared" si="6"/>
        <v>580</v>
      </c>
      <c r="H131" s="68"/>
      <c r="I131" s="166"/>
      <c r="O131" s="63"/>
      <c r="P131" s="72"/>
      <c r="Q131" s="63"/>
      <c r="R131" s="80"/>
      <c r="S131" s="73"/>
      <c r="T131" s="74"/>
      <c r="U131" s="74"/>
      <c r="V131" s="75"/>
      <c r="W131" s="76"/>
      <c r="X131" s="77"/>
      <c r="Y131" s="77"/>
      <c r="Z131" s="63"/>
    </row>
    <row r="132" spans="1:26" x14ac:dyDescent="0.2">
      <c r="A132" s="22" t="str">
        <f t="shared" si="4"/>
        <v>C-1st flr</v>
      </c>
      <c r="B132" s="37">
        <v>8</v>
      </c>
      <c r="C132" s="37">
        <v>8</v>
      </c>
      <c r="D132" s="88">
        <f t="shared" si="7"/>
        <v>2</v>
      </c>
      <c r="E132" s="37">
        <f t="shared" si="8"/>
        <v>1</v>
      </c>
      <c r="F132" s="141">
        <f t="shared" si="5"/>
        <v>15284.178000000002</v>
      </c>
      <c r="G132" s="141">
        <f t="shared" si="6"/>
        <v>1160</v>
      </c>
      <c r="H132" s="68"/>
    </row>
    <row r="133" spans="1:26" x14ac:dyDescent="0.2">
      <c r="A133" s="22" t="str">
        <f>A98</f>
        <v>D-2nd flr</v>
      </c>
      <c r="B133" s="37">
        <v>8</v>
      </c>
      <c r="C133" s="37">
        <v>8</v>
      </c>
      <c r="D133" s="88">
        <f t="shared" si="7"/>
        <v>2</v>
      </c>
      <c r="E133" s="37">
        <f t="shared" si="8"/>
        <v>1</v>
      </c>
      <c r="F133" s="141">
        <f>E133*E98</f>
        <v>712.16600000000005</v>
      </c>
      <c r="G133" s="141">
        <f>G98</f>
        <v>80</v>
      </c>
      <c r="H133" s="68"/>
    </row>
    <row r="134" spans="1:26" x14ac:dyDescent="0.2">
      <c r="A134" s="22" t="str">
        <f>A99</f>
        <v>D-1st flr</v>
      </c>
      <c r="B134" s="37">
        <v>8</v>
      </c>
      <c r="C134" s="37">
        <v>8</v>
      </c>
      <c r="D134" s="88">
        <f t="shared" si="7"/>
        <v>2</v>
      </c>
      <c r="E134" s="37">
        <f t="shared" si="8"/>
        <v>1</v>
      </c>
      <c r="F134" s="141">
        <f>E134*E99</f>
        <v>876.51200000000006</v>
      </c>
      <c r="G134" s="141">
        <f>G99</f>
        <v>160</v>
      </c>
      <c r="H134" s="68"/>
    </row>
    <row r="135" spans="1:26" x14ac:dyDescent="0.2">
      <c r="A135" s="68"/>
      <c r="B135" s="68"/>
      <c r="C135" s="68"/>
      <c r="D135" s="68"/>
      <c r="E135" s="68"/>
      <c r="F135" s="68"/>
      <c r="G135" s="68"/>
      <c r="H135" s="68"/>
    </row>
    <row r="136" spans="1:26" x14ac:dyDescent="0.2">
      <c r="A136" s="68"/>
      <c r="B136" s="68"/>
      <c r="C136" s="68"/>
      <c r="D136" s="68"/>
      <c r="E136" s="68"/>
      <c r="F136" s="68"/>
      <c r="G136" s="68"/>
      <c r="H136" s="68"/>
    </row>
    <row r="137" spans="1:26" x14ac:dyDescent="0.2">
      <c r="A137" s="37" t="str">
        <f>A111</f>
        <v>1-2nd flr</v>
      </c>
      <c r="B137" s="22">
        <v>8</v>
      </c>
      <c r="C137" s="37">
        <v>8</v>
      </c>
      <c r="D137" s="88">
        <f t="shared" ref="D137:D144" si="9">2*B137/C137</f>
        <v>2</v>
      </c>
      <c r="E137" s="37">
        <f t="shared" ref="E137:E144" si="10">IF(D137&lt;2,1.3,1)</f>
        <v>1</v>
      </c>
      <c r="F137" s="141">
        <f>E137*E111</f>
        <v>3869.1744000000003</v>
      </c>
      <c r="G137" s="141">
        <f>G111</f>
        <v>160</v>
      </c>
      <c r="H137" s="68"/>
    </row>
    <row r="138" spans="1:26" x14ac:dyDescent="0.2">
      <c r="A138" s="37" t="str">
        <f t="shared" ref="A138:A144" si="11">A112</f>
        <v>1-1st flr</v>
      </c>
      <c r="B138" s="22">
        <v>8</v>
      </c>
      <c r="C138" s="37">
        <v>8</v>
      </c>
      <c r="D138" s="88">
        <f t="shared" si="9"/>
        <v>2</v>
      </c>
      <c r="E138" s="37">
        <f t="shared" si="10"/>
        <v>1</v>
      </c>
      <c r="F138" s="141">
        <f t="shared" ref="F138:F144" si="12">E138*E112</f>
        <v>8733.8160000000007</v>
      </c>
      <c r="G138" s="141">
        <f t="shared" ref="G138:G144" si="13">G112</f>
        <v>400</v>
      </c>
      <c r="H138" s="71"/>
    </row>
    <row r="139" spans="1:26" x14ac:dyDescent="0.2">
      <c r="A139" s="37" t="str">
        <f t="shared" si="11"/>
        <v>4-roof</v>
      </c>
      <c r="B139" s="22">
        <v>8</v>
      </c>
      <c r="C139" s="37">
        <v>8</v>
      </c>
      <c r="D139" s="88">
        <f t="shared" si="9"/>
        <v>2</v>
      </c>
      <c r="E139" s="37">
        <f t="shared" si="10"/>
        <v>1</v>
      </c>
      <c r="F139" s="141">
        <f t="shared" si="12"/>
        <v>5352.9840000000004</v>
      </c>
      <c r="G139" s="141">
        <f t="shared" si="13"/>
        <v>240</v>
      </c>
      <c r="H139" s="71"/>
    </row>
    <row r="140" spans="1:26" x14ac:dyDescent="0.2">
      <c r="A140" s="37" t="str">
        <f t="shared" si="11"/>
        <v>4-floor</v>
      </c>
      <c r="B140" s="22">
        <v>8</v>
      </c>
      <c r="C140" s="37">
        <v>8</v>
      </c>
      <c r="D140" s="88">
        <f t="shared" si="9"/>
        <v>2</v>
      </c>
      <c r="E140" s="37">
        <f t="shared" si="10"/>
        <v>1</v>
      </c>
      <c r="F140" s="141">
        <f t="shared" si="12"/>
        <v>0</v>
      </c>
      <c r="G140" s="141">
        <f t="shared" si="13"/>
        <v>0</v>
      </c>
      <c r="H140" s="71"/>
    </row>
    <row r="141" spans="1:26" x14ac:dyDescent="0.2">
      <c r="A141" s="37" t="str">
        <f t="shared" si="11"/>
        <v>5-roof</v>
      </c>
      <c r="B141" s="22">
        <v>8</v>
      </c>
      <c r="C141" s="37">
        <v>8</v>
      </c>
      <c r="D141" s="88">
        <f t="shared" si="9"/>
        <v>2</v>
      </c>
      <c r="E141" s="37">
        <f t="shared" si="10"/>
        <v>1</v>
      </c>
      <c r="F141" s="141">
        <f t="shared" si="12"/>
        <v>0</v>
      </c>
      <c r="G141" s="141">
        <f t="shared" si="13"/>
        <v>0</v>
      </c>
      <c r="H141" s="71"/>
    </row>
    <row r="142" spans="1:26" x14ac:dyDescent="0.2">
      <c r="A142" s="37" t="str">
        <f t="shared" si="11"/>
        <v>5-floor</v>
      </c>
      <c r="B142" s="22">
        <v>8</v>
      </c>
      <c r="C142" s="37">
        <v>8</v>
      </c>
      <c r="D142" s="88">
        <f t="shared" si="9"/>
        <v>2</v>
      </c>
      <c r="E142" s="37">
        <f t="shared" si="10"/>
        <v>1</v>
      </c>
      <c r="F142" s="141">
        <f t="shared" si="12"/>
        <v>0</v>
      </c>
      <c r="G142" s="141">
        <f t="shared" si="13"/>
        <v>0</v>
      </c>
      <c r="H142" s="68"/>
    </row>
    <row r="143" spans="1:26" x14ac:dyDescent="0.2">
      <c r="A143" s="37" t="str">
        <f t="shared" si="11"/>
        <v>-</v>
      </c>
      <c r="B143" s="22">
        <v>8</v>
      </c>
      <c r="C143" s="37">
        <v>8</v>
      </c>
      <c r="D143" s="88">
        <f t="shared" si="9"/>
        <v>2</v>
      </c>
      <c r="E143" s="37">
        <f t="shared" si="10"/>
        <v>1</v>
      </c>
      <c r="F143" s="141">
        <f t="shared" si="12"/>
        <v>0</v>
      </c>
      <c r="G143" s="141">
        <f t="shared" si="13"/>
        <v>0</v>
      </c>
      <c r="H143" s="68"/>
    </row>
    <row r="144" spans="1:26" x14ac:dyDescent="0.2">
      <c r="A144" s="37" t="str">
        <f t="shared" si="11"/>
        <v>-</v>
      </c>
      <c r="B144" s="22">
        <v>8</v>
      </c>
      <c r="C144" s="37">
        <v>8</v>
      </c>
      <c r="D144" s="88">
        <f t="shared" si="9"/>
        <v>2</v>
      </c>
      <c r="E144" s="37">
        <f t="shared" si="10"/>
        <v>1</v>
      </c>
      <c r="F144" s="141">
        <f t="shared" si="12"/>
        <v>0</v>
      </c>
      <c r="G144" s="141">
        <f t="shared" si="13"/>
        <v>0</v>
      </c>
      <c r="H144" s="68"/>
    </row>
    <row r="145" spans="1:19" s="190" customFormat="1" ht="51" x14ac:dyDescent="0.2">
      <c r="A145" s="68"/>
      <c r="B145" s="68"/>
      <c r="C145" s="68"/>
      <c r="D145" s="68"/>
      <c r="E145" s="68"/>
      <c r="F145" s="68"/>
      <c r="G145" s="68"/>
      <c r="H145" s="68"/>
      <c r="I145" s="187" t="s">
        <v>227</v>
      </c>
      <c r="J145" s="187" t="s">
        <v>228</v>
      </c>
      <c r="K145" s="187" t="s">
        <v>229</v>
      </c>
      <c r="L145" s="187" t="s">
        <v>230</v>
      </c>
      <c r="M145" s="184" t="s">
        <v>231</v>
      </c>
      <c r="N145" s="186" t="s">
        <v>232</v>
      </c>
      <c r="O145" s="186" t="s">
        <v>233</v>
      </c>
      <c r="P145" s="188" t="s">
        <v>234</v>
      </c>
      <c r="Q145" s="188" t="s">
        <v>235</v>
      </c>
      <c r="R145" s="189"/>
      <c r="S145" s="189"/>
    </row>
    <row r="146" spans="1:19" ht="15" x14ac:dyDescent="0.25">
      <c r="A146" s="227" t="s">
        <v>205</v>
      </c>
      <c r="B146" s="227"/>
      <c r="I146" s="194">
        <f t="shared" ref="I146:I153" si="14">(8*SUM(B158,C158)*(C127^3))/($B$154*$B$155*B127)</f>
        <v>5.6139699200000006E-3</v>
      </c>
      <c r="J146" s="194">
        <f t="shared" ref="J146:J153" si="15">(SUM(B158,C158)*C127)/H158</f>
        <v>3.7213815757575763E-2</v>
      </c>
      <c r="K146" s="194">
        <f t="shared" ref="K146:K153" si="16">0.75*Q146*C127</f>
        <v>3.8007239617020745E-2</v>
      </c>
      <c r="L146" s="194">
        <f t="shared" ref="L146:L153" si="17">(C127/B127)*$B$153</f>
        <v>4.7600000000000003E-2</v>
      </c>
      <c r="M146" s="84">
        <f>SUM(I146,J146,K146,L146)</f>
        <v>0.12843502529459652</v>
      </c>
      <c r="N146" s="195">
        <f>$B$150*M146</f>
        <v>0.51374010117838609</v>
      </c>
      <c r="O146" s="36" t="str">
        <f>IF(N146&lt;=$B$151, "OK", "NO GOOD")</f>
        <v>OK</v>
      </c>
      <c r="P146" s="196">
        <f t="shared" ref="P146:P153" si="18">(SUM(B158,C158)/(12/F158))</f>
        <v>115.13024250000001</v>
      </c>
      <c r="Q146" s="197">
        <f t="shared" ref="Q146:Q153" si="19">IF(E158=8,(P146/616)^(3.018),IF(E158=10,(P146/769)^(3.276), "Need dif. Formula"))*IF(G158="N", 1.2,1)</f>
        <v>6.3345399361701242E-3</v>
      </c>
      <c r="R146" s="198"/>
      <c r="S146" s="198"/>
    </row>
    <row r="147" spans="1:19" ht="15" x14ac:dyDescent="0.25">
      <c r="A147" s="167" t="s">
        <v>206</v>
      </c>
      <c r="B147" s="168" t="s">
        <v>207</v>
      </c>
      <c r="C147" s="169"/>
      <c r="I147" s="194">
        <f t="shared" si="14"/>
        <v>1.6072805726807893E-3</v>
      </c>
      <c r="J147" s="194">
        <f t="shared" si="15"/>
        <v>1.9710495659295665E-2</v>
      </c>
      <c r="K147" s="194">
        <f t="shared" si="16"/>
        <v>5.5831363786509984E-3</v>
      </c>
      <c r="L147" s="194">
        <f t="shared" si="17"/>
        <v>2.5729729729729731E-2</v>
      </c>
      <c r="M147" s="84">
        <f>SUM(I147,J147,K147,L147)</f>
        <v>5.2630642340357185E-2</v>
      </c>
      <c r="N147" s="195">
        <f>$B$150*M147</f>
        <v>0.21052256936142874</v>
      </c>
      <c r="O147" s="36" t="str">
        <f>IF(N147&lt;=$B$151, "OK", "NO GOOD")</f>
        <v>OK</v>
      </c>
      <c r="P147" s="196">
        <f t="shared" si="18"/>
        <v>60.979345945945958</v>
      </c>
      <c r="Q147" s="197">
        <f t="shared" si="19"/>
        <v>9.3052272977516644E-4</v>
      </c>
      <c r="R147" s="198"/>
      <c r="S147" s="198"/>
    </row>
    <row r="148" spans="1:19" ht="15" x14ac:dyDescent="0.25">
      <c r="A148" s="170"/>
      <c r="B148" s="171"/>
      <c r="I148" s="194">
        <f t="shared" si="14"/>
        <v>3.9775696759259259E-2</v>
      </c>
      <c r="J148" s="194">
        <f t="shared" si="15"/>
        <v>0.10124722811447812</v>
      </c>
      <c r="K148" s="194">
        <f t="shared" si="16"/>
        <v>0.4967786931853152</v>
      </c>
      <c r="L148" s="194">
        <f t="shared" si="17"/>
        <v>9.9166666666666667E-2</v>
      </c>
      <c r="M148" s="84">
        <f>SUM(I148,J148,K148,L148)</f>
        <v>0.73696828472571918</v>
      </c>
      <c r="N148" s="195">
        <f>$B$150*M148</f>
        <v>2.9478731389028767</v>
      </c>
      <c r="O148" s="36" t="str">
        <f>IF(N148&lt;=$B$151, "OK", "NO GOOD")</f>
        <v>NO GOOD</v>
      </c>
      <c r="P148" s="196">
        <f t="shared" si="18"/>
        <v>250.58688958333335</v>
      </c>
      <c r="Q148" s="197">
        <f t="shared" si="19"/>
        <v>6.6237159091375356E-2</v>
      </c>
      <c r="R148" s="198"/>
      <c r="S148" s="198"/>
    </row>
    <row r="149" spans="1:19" ht="15.75" x14ac:dyDescent="0.3">
      <c r="A149" s="90" t="s">
        <v>208</v>
      </c>
      <c r="B149" s="172">
        <v>8</v>
      </c>
      <c r="I149" s="194">
        <f t="shared" si="14"/>
        <v>4.7992013333333344E-3</v>
      </c>
      <c r="J149" s="194">
        <f t="shared" si="15"/>
        <v>2.5450310101010107E-2</v>
      </c>
      <c r="K149" s="194">
        <f t="shared" si="16"/>
        <v>1.2074322024628048E-2</v>
      </c>
      <c r="L149" s="194">
        <f t="shared" si="17"/>
        <v>5.9499999999999997E-2</v>
      </c>
      <c r="M149" s="84">
        <f t="shared" ref="M149:M153" si="20">SUM(I149,J149,K149,L149)</f>
        <v>0.10182383345897149</v>
      </c>
      <c r="N149" s="195">
        <f t="shared" ref="N149:N163" si="21">$B$150*M149</f>
        <v>0.40729533383588595</v>
      </c>
      <c r="O149" s="36" t="str">
        <f t="shared" ref="O149:O163" si="22">IF(N149&lt;=$B$151, "OK", "NO GOOD")</f>
        <v>OK</v>
      </c>
      <c r="P149" s="196">
        <f t="shared" si="18"/>
        <v>78.736896875000014</v>
      </c>
      <c r="Q149" s="197">
        <f t="shared" si="19"/>
        <v>2.0123870041046745E-3</v>
      </c>
      <c r="R149" s="198"/>
      <c r="S149" s="198"/>
    </row>
    <row r="150" spans="1:19" ht="15.75" x14ac:dyDescent="0.3">
      <c r="A150" s="90" t="s">
        <v>103</v>
      </c>
      <c r="B150" s="173">
        <v>4</v>
      </c>
      <c r="C150" s="174" t="s">
        <v>209</v>
      </c>
      <c r="I150" s="194">
        <f t="shared" si="14"/>
        <v>8.2043312000000007E-2</v>
      </c>
      <c r="J150" s="194">
        <f t="shared" si="15"/>
        <v>0.21753908484848489</v>
      </c>
      <c r="K150" s="194">
        <f t="shared" si="16"/>
        <v>7.8373385375683515</v>
      </c>
      <c r="L150" s="194">
        <f t="shared" si="17"/>
        <v>0.11899999999999999</v>
      </c>
      <c r="M150" s="84">
        <f t="shared" si="20"/>
        <v>8.2559209344168369</v>
      </c>
      <c r="N150" s="195">
        <f t="shared" si="21"/>
        <v>33.023683737667348</v>
      </c>
      <c r="O150" s="36" t="str">
        <f t="shared" si="22"/>
        <v>NO GOOD</v>
      </c>
      <c r="P150" s="196">
        <f t="shared" si="18"/>
        <v>673.0115437500001</v>
      </c>
      <c r="Q150" s="197">
        <f t="shared" si="19"/>
        <v>1.3062230895947253</v>
      </c>
      <c r="R150" s="198"/>
      <c r="S150" s="198"/>
    </row>
    <row r="151" spans="1:19" ht="15.75" x14ac:dyDescent="0.3">
      <c r="A151" s="90" t="s">
        <v>210</v>
      </c>
      <c r="B151" s="175">
        <f>0.02*B149*12</f>
        <v>1.92</v>
      </c>
      <c r="E151" s="170" t="s">
        <v>211</v>
      </c>
      <c r="F151" s="171" t="s">
        <v>212</v>
      </c>
      <c r="I151" s="194">
        <f t="shared" si="14"/>
        <v>0.11645088000000001</v>
      </c>
      <c r="J151" s="194">
        <f t="shared" si="15"/>
        <v>0.30877127272727278</v>
      </c>
      <c r="K151" s="194">
        <f t="shared" si="16"/>
        <v>22.553044225324548</v>
      </c>
      <c r="L151" s="194">
        <f t="shared" si="17"/>
        <v>0.11899999999999999</v>
      </c>
      <c r="M151" s="84">
        <f t="shared" si="20"/>
        <v>23.09726637805182</v>
      </c>
      <c r="N151" s="195">
        <f t="shared" si="21"/>
        <v>92.389065512207281</v>
      </c>
      <c r="O151" s="36" t="str">
        <f t="shared" si="22"/>
        <v>NO GOOD</v>
      </c>
      <c r="P151" s="196">
        <f t="shared" si="18"/>
        <v>955.26112500000011</v>
      </c>
      <c r="Q151" s="197">
        <f t="shared" si="19"/>
        <v>3.7588407042207579</v>
      </c>
      <c r="R151" s="198"/>
      <c r="S151" s="198"/>
    </row>
    <row r="152" spans="1:19" ht="15.75" x14ac:dyDescent="0.3">
      <c r="A152" s="176"/>
      <c r="B152" s="107"/>
      <c r="E152" s="170" t="s">
        <v>213</v>
      </c>
      <c r="F152" s="171" t="s">
        <v>214</v>
      </c>
      <c r="I152" s="194">
        <f t="shared" si="14"/>
        <v>5.4260266666666668E-3</v>
      </c>
      <c r="J152" s="194">
        <f t="shared" si="15"/>
        <v>1.4387191919191921E-2</v>
      </c>
      <c r="K152" s="194">
        <f t="shared" si="16"/>
        <v>2.1590004025982758E-3</v>
      </c>
      <c r="L152" s="194">
        <f t="shared" si="17"/>
        <v>0.11899999999999999</v>
      </c>
      <c r="M152" s="84">
        <f t="shared" si="20"/>
        <v>0.14097221898845685</v>
      </c>
      <c r="N152" s="195">
        <f t="shared" si="21"/>
        <v>0.56388887595382742</v>
      </c>
      <c r="O152" s="36" t="str">
        <f t="shared" si="22"/>
        <v>OK</v>
      </c>
      <c r="P152" s="196">
        <f t="shared" si="18"/>
        <v>44.510375000000003</v>
      </c>
      <c r="Q152" s="197">
        <f t="shared" si="19"/>
        <v>3.5983340043304598E-4</v>
      </c>
      <c r="R152" s="198"/>
      <c r="S152" s="198"/>
    </row>
    <row r="153" spans="1:19" ht="15.75" x14ac:dyDescent="0.3">
      <c r="A153" s="90" t="s">
        <v>215</v>
      </c>
      <c r="B153" s="177">
        <v>0.11899999999999999</v>
      </c>
      <c r="C153" s="171" t="s">
        <v>216</v>
      </c>
      <c r="I153" s="194">
        <f t="shared" si="14"/>
        <v>6.6781866666666672E-3</v>
      </c>
      <c r="J153" s="194">
        <f t="shared" si="15"/>
        <v>1.7707313131313133E-2</v>
      </c>
      <c r="K153" s="194">
        <f t="shared" si="16"/>
        <v>4.0402272520877018E-3</v>
      </c>
      <c r="L153" s="194">
        <f t="shared" si="17"/>
        <v>0.11899999999999999</v>
      </c>
      <c r="M153" s="84">
        <f t="shared" si="20"/>
        <v>0.14742572705006748</v>
      </c>
      <c r="N153" s="195">
        <f t="shared" si="21"/>
        <v>0.58970290820026994</v>
      </c>
      <c r="O153" s="36" t="str">
        <f t="shared" si="22"/>
        <v>OK</v>
      </c>
      <c r="P153" s="196">
        <f t="shared" si="18"/>
        <v>54.782000000000004</v>
      </c>
      <c r="Q153" s="197">
        <f t="shared" si="19"/>
        <v>6.733712086812836E-4</v>
      </c>
      <c r="R153" s="198"/>
      <c r="S153" s="198"/>
    </row>
    <row r="154" spans="1:19" ht="15" x14ac:dyDescent="0.25">
      <c r="A154" s="90" t="s">
        <v>217</v>
      </c>
      <c r="B154" s="178">
        <v>1600000</v>
      </c>
      <c r="C154" s="23" t="s">
        <v>218</v>
      </c>
      <c r="I154" s="194"/>
      <c r="J154" s="194"/>
      <c r="K154" s="194"/>
      <c r="L154" s="194"/>
      <c r="M154" s="84"/>
      <c r="N154" s="195"/>
      <c r="O154" s="36"/>
      <c r="P154" s="196"/>
      <c r="Q154" s="197"/>
      <c r="R154" s="198"/>
      <c r="S154" s="198"/>
    </row>
    <row r="155" spans="1:19" ht="15" x14ac:dyDescent="0.25">
      <c r="A155" s="102" t="s">
        <v>219</v>
      </c>
      <c r="B155" s="179">
        <v>5.25</v>
      </c>
      <c r="C155" s="180" t="s">
        <v>220</v>
      </c>
      <c r="D155" s="181"/>
      <c r="E155" s="171"/>
      <c r="I155" s="194"/>
      <c r="J155" s="194"/>
      <c r="K155" s="194"/>
      <c r="L155" s="194"/>
      <c r="M155" s="84"/>
      <c r="N155" s="195"/>
      <c r="O155" s="36"/>
      <c r="P155" s="196"/>
      <c r="Q155" s="197"/>
      <c r="R155" s="198"/>
      <c r="S155" s="198"/>
    </row>
    <row r="156" spans="1:19" ht="15" x14ac:dyDescent="0.25">
      <c r="A156" s="182"/>
      <c r="B156" s="183"/>
      <c r="I156" s="194">
        <f t="shared" ref="I156:I163" si="23">(8*SUM(B168,C168)*(C137^3))/($B$154*$B$155*B137)</f>
        <v>2.9479424000000004E-2</v>
      </c>
      <c r="J156" s="194">
        <f t="shared" ref="J156:J163" si="24">(SUM(B168,C168)*C137)/H168</f>
        <v>7.8165139393939403E-2</v>
      </c>
      <c r="K156" s="194">
        <f t="shared" ref="K156:K163" si="25">0.75*Q156*C137</f>
        <v>0.35693949087984234</v>
      </c>
      <c r="L156" s="194">
        <f t="shared" ref="L156:L163" si="26">(C137/B137)*$B$153</f>
        <v>0.11899999999999999</v>
      </c>
      <c r="M156" s="84">
        <f t="shared" ref="M156:M163" si="27">SUM(I156,J156,K156,L156)</f>
        <v>0.58358405427378179</v>
      </c>
      <c r="N156" s="195">
        <f t="shared" si="21"/>
        <v>2.3343362170951272</v>
      </c>
      <c r="O156" s="36" t="str">
        <f t="shared" si="22"/>
        <v>NO GOOD</v>
      </c>
      <c r="P156" s="196">
        <f t="shared" ref="P156:P163" si="28">(SUM(B168,C168)/(12/F168))</f>
        <v>241.82340000000002</v>
      </c>
      <c r="Q156" s="197">
        <f t="shared" ref="Q156:Q163" si="29">IF(E168=8,(P156/616)^(3.018),IF(E168=10,(P156/769)^(3.276), "Need dif. Formula"))*IF(G168="N", 1.2,1)</f>
        <v>5.9489915146640392E-2</v>
      </c>
      <c r="R156" s="198"/>
      <c r="S156" s="198"/>
    </row>
    <row r="157" spans="1:19" ht="76.5" x14ac:dyDescent="0.25">
      <c r="A157" s="184" t="s">
        <v>144</v>
      </c>
      <c r="B157" s="185" t="s">
        <v>221</v>
      </c>
      <c r="C157" s="184"/>
      <c r="D157" s="36" t="s">
        <v>222</v>
      </c>
      <c r="E157" s="186" t="s">
        <v>223</v>
      </c>
      <c r="F157" s="186" t="s">
        <v>224</v>
      </c>
      <c r="G157" s="186" t="s">
        <v>225</v>
      </c>
      <c r="H157" s="186" t="s">
        <v>226</v>
      </c>
      <c r="I157" s="194">
        <f t="shared" si="23"/>
        <v>6.654336000000001E-2</v>
      </c>
      <c r="J157" s="194">
        <f t="shared" si="24"/>
        <v>0.17644072727272728</v>
      </c>
      <c r="K157" s="194">
        <f t="shared" si="25"/>
        <v>1.2253860184789058</v>
      </c>
      <c r="L157" s="194">
        <f t="shared" si="26"/>
        <v>0.11899999999999999</v>
      </c>
      <c r="M157" s="84">
        <f t="shared" si="27"/>
        <v>1.5873701057516332</v>
      </c>
      <c r="N157" s="195">
        <f t="shared" si="21"/>
        <v>6.3494804230065327</v>
      </c>
      <c r="O157" s="36" t="str">
        <f t="shared" si="22"/>
        <v>NO GOOD</v>
      </c>
      <c r="P157" s="196">
        <f t="shared" si="28"/>
        <v>363.90900000000005</v>
      </c>
      <c r="Q157" s="197">
        <f t="shared" si="29"/>
        <v>0.20423100307981765</v>
      </c>
      <c r="R157" s="198"/>
      <c r="S157" s="198"/>
    </row>
    <row r="158" spans="1:19" ht="15" x14ac:dyDescent="0.25">
      <c r="A158" s="138" t="str">
        <f>A127</f>
        <v>A-2nd flr</v>
      </c>
      <c r="B158" s="141">
        <f>(MAX(F127,G127))/B127</f>
        <v>230.26048500000002</v>
      </c>
      <c r="C158" s="141"/>
      <c r="D158" s="191">
        <v>1</v>
      </c>
      <c r="E158" s="192">
        <f>LOOKUP(D158,{1,2,3,4,5},{8,8,10,10,10})</f>
        <v>8</v>
      </c>
      <c r="F158" s="192">
        <f>LOOKUP(D158,{1,2,3,4,5},{6,4,6,4,3})</f>
        <v>6</v>
      </c>
      <c r="G158" s="192" t="s">
        <v>236</v>
      </c>
      <c r="H158" s="193">
        <v>49500</v>
      </c>
      <c r="I158" s="194">
        <f t="shared" si="23"/>
        <v>4.0784640000000004E-2</v>
      </c>
      <c r="J158" s="194">
        <f t="shared" si="24"/>
        <v>0.10814109090909092</v>
      </c>
      <c r="K158" s="194">
        <f t="shared" si="25"/>
        <v>0.95074733402059786</v>
      </c>
      <c r="L158" s="194">
        <f t="shared" si="26"/>
        <v>0.11899999999999999</v>
      </c>
      <c r="M158" s="84">
        <f t="shared" si="27"/>
        <v>1.2186730649296889</v>
      </c>
      <c r="N158" s="195">
        <f t="shared" si="21"/>
        <v>4.8746922597187554</v>
      </c>
      <c r="O158" s="36" t="str">
        <f t="shared" si="22"/>
        <v>NO GOOD</v>
      </c>
      <c r="P158" s="196">
        <f t="shared" si="28"/>
        <v>334.56150000000002</v>
      </c>
      <c r="Q158" s="197">
        <f t="shared" si="29"/>
        <v>0.15845788900343297</v>
      </c>
    </row>
    <row r="159" spans="1:19" ht="15" x14ac:dyDescent="0.25">
      <c r="A159" s="138" t="str">
        <f t="shared" ref="A159:A175" si="30">A128</f>
        <v>A-1st flr</v>
      </c>
      <c r="B159" s="199">
        <f>IF(F128&gt;G128,F128,G128)/B128</f>
        <v>121.95869189189192</v>
      </c>
      <c r="C159" s="199"/>
      <c r="D159" s="191">
        <v>1</v>
      </c>
      <c r="E159" s="192">
        <f>LOOKUP(D159,{1,2,3,4,5},{8,8,10,10,10})</f>
        <v>8</v>
      </c>
      <c r="F159" s="192">
        <f>LOOKUP(D159,{1,2,3,4,5},{6,4,6,4,3})</f>
        <v>6</v>
      </c>
      <c r="G159" s="192" t="s">
        <v>236</v>
      </c>
      <c r="H159" s="193">
        <v>49500</v>
      </c>
      <c r="I159" s="194">
        <f t="shared" si="23"/>
        <v>0</v>
      </c>
      <c r="J159" s="194">
        <f t="shared" si="24"/>
        <v>0</v>
      </c>
      <c r="K159" s="194">
        <f t="shared" si="25"/>
        <v>0</v>
      </c>
      <c r="L159" s="194">
        <f t="shared" si="26"/>
        <v>0.11899999999999999</v>
      </c>
      <c r="M159" s="84">
        <f t="shared" si="27"/>
        <v>0.11899999999999999</v>
      </c>
      <c r="N159" s="195">
        <f t="shared" si="21"/>
        <v>0.47599999999999998</v>
      </c>
      <c r="O159" s="36" t="str">
        <f t="shared" si="22"/>
        <v>OK</v>
      </c>
      <c r="P159" s="196">
        <f t="shared" si="28"/>
        <v>0</v>
      </c>
      <c r="Q159" s="197">
        <f t="shared" si="29"/>
        <v>0</v>
      </c>
      <c r="R159" s="198"/>
      <c r="S159" s="198"/>
    </row>
    <row r="160" spans="1:19" ht="15" x14ac:dyDescent="0.25">
      <c r="A160" s="138" t="str">
        <f t="shared" si="30"/>
        <v>A @ 10' walls</v>
      </c>
      <c r="B160" s="199">
        <f t="shared" ref="B160:B165" si="31">IF(F129&gt;G129,F129,G129)/B129</f>
        <v>501.17377916666669</v>
      </c>
      <c r="C160" s="199"/>
      <c r="D160" s="191">
        <v>1</v>
      </c>
      <c r="E160" s="192">
        <f>LOOKUP(D160,{1,2,3,4,5},{8,8,10,10,10})</f>
        <v>8</v>
      </c>
      <c r="F160" s="192">
        <f>LOOKUP(D160,{1,2,3,4,5},{6,4,6,4,3})</f>
        <v>6</v>
      </c>
      <c r="G160" s="192" t="s">
        <v>236</v>
      </c>
      <c r="H160" s="193">
        <v>49500</v>
      </c>
      <c r="I160" s="194">
        <f t="shared" si="23"/>
        <v>0</v>
      </c>
      <c r="J160" s="194">
        <f t="shared" si="24"/>
        <v>0</v>
      </c>
      <c r="K160" s="194">
        <f t="shared" si="25"/>
        <v>0</v>
      </c>
      <c r="L160" s="194">
        <f t="shared" si="26"/>
        <v>0.11899999999999999</v>
      </c>
      <c r="M160" s="84">
        <f t="shared" si="27"/>
        <v>0.11899999999999999</v>
      </c>
      <c r="N160" s="195">
        <f t="shared" si="21"/>
        <v>0.47599999999999998</v>
      </c>
      <c r="O160" s="36" t="str">
        <f t="shared" si="22"/>
        <v>OK</v>
      </c>
      <c r="P160" s="196">
        <f t="shared" si="28"/>
        <v>0</v>
      </c>
      <c r="Q160" s="197">
        <f t="shared" si="29"/>
        <v>0</v>
      </c>
    </row>
    <row r="161" spans="1:19" ht="15" x14ac:dyDescent="0.25">
      <c r="A161" s="138" t="str">
        <f t="shared" si="30"/>
        <v>B-1st flr</v>
      </c>
      <c r="B161" s="141">
        <f t="shared" si="31"/>
        <v>157.47379375000003</v>
      </c>
      <c r="C161" s="141"/>
      <c r="D161" s="191">
        <v>1</v>
      </c>
      <c r="E161" s="192">
        <f>LOOKUP(D161,{1,2,3,4,5},{8,8,10,10,10})</f>
        <v>8</v>
      </c>
      <c r="F161" s="192">
        <f>LOOKUP(D161,{1,2,3,4,5},{6,4,6,4,3})</f>
        <v>6</v>
      </c>
      <c r="G161" s="192" t="s">
        <v>236</v>
      </c>
      <c r="H161" s="193">
        <v>49500</v>
      </c>
      <c r="I161" s="194">
        <f t="shared" si="23"/>
        <v>0</v>
      </c>
      <c r="J161" s="194">
        <f t="shared" si="24"/>
        <v>0</v>
      </c>
      <c r="K161" s="194">
        <f t="shared" si="25"/>
        <v>0</v>
      </c>
      <c r="L161" s="194">
        <f t="shared" si="26"/>
        <v>0.11899999999999999</v>
      </c>
      <c r="M161" s="84">
        <f t="shared" si="27"/>
        <v>0.11899999999999999</v>
      </c>
      <c r="N161" s="195">
        <f t="shared" si="21"/>
        <v>0.47599999999999998</v>
      </c>
      <c r="O161" s="36" t="str">
        <f t="shared" si="22"/>
        <v>OK</v>
      </c>
      <c r="P161" s="196">
        <f t="shared" si="28"/>
        <v>0</v>
      </c>
      <c r="Q161" s="197">
        <f t="shared" si="29"/>
        <v>0</v>
      </c>
      <c r="R161" s="198"/>
      <c r="S161" s="198"/>
    </row>
    <row r="162" spans="1:19" ht="15" x14ac:dyDescent="0.25">
      <c r="A162" s="138" t="str">
        <f t="shared" si="30"/>
        <v>C-2nd flr</v>
      </c>
      <c r="B162" s="141">
        <f t="shared" si="31"/>
        <v>1346.0230875000002</v>
      </c>
      <c r="C162" s="141"/>
      <c r="D162" s="191">
        <v>1</v>
      </c>
      <c r="E162" s="192">
        <f>LOOKUP(D162,{1,2,3,4,5},{8,8,10,10,10})</f>
        <v>8</v>
      </c>
      <c r="F162" s="192">
        <f>LOOKUP(D162,{1,2,3,4,5},{6,4,6,4,3})</f>
        <v>6</v>
      </c>
      <c r="G162" s="192" t="s">
        <v>236</v>
      </c>
      <c r="H162" s="193">
        <v>49500</v>
      </c>
      <c r="I162" s="194">
        <f t="shared" si="23"/>
        <v>0</v>
      </c>
      <c r="J162" s="194">
        <f t="shared" si="24"/>
        <v>0</v>
      </c>
      <c r="K162" s="194">
        <f t="shared" si="25"/>
        <v>0</v>
      </c>
      <c r="L162" s="194">
        <f t="shared" si="26"/>
        <v>0.11899999999999999</v>
      </c>
      <c r="M162" s="84">
        <f t="shared" si="27"/>
        <v>0.11899999999999999</v>
      </c>
      <c r="N162" s="195">
        <f t="shared" si="21"/>
        <v>0.47599999999999998</v>
      </c>
      <c r="O162" s="36" t="str">
        <f t="shared" si="22"/>
        <v>OK</v>
      </c>
      <c r="P162" s="196">
        <f t="shared" si="28"/>
        <v>0</v>
      </c>
      <c r="Q162" s="197">
        <f t="shared" si="29"/>
        <v>0</v>
      </c>
      <c r="R162" s="198"/>
      <c r="S162" s="198"/>
    </row>
    <row r="163" spans="1:19" ht="15" x14ac:dyDescent="0.25">
      <c r="A163" s="138" t="str">
        <f t="shared" si="30"/>
        <v>C-1st flr</v>
      </c>
      <c r="B163" s="141">
        <f t="shared" si="31"/>
        <v>1910.5222500000002</v>
      </c>
      <c r="C163" s="141"/>
      <c r="D163" s="191">
        <v>1</v>
      </c>
      <c r="E163" s="192">
        <f>LOOKUP(D163,{1,2,3,4,5},{8,8,10,10,10})</f>
        <v>8</v>
      </c>
      <c r="F163" s="192">
        <f>LOOKUP(D163,{1,2,3,4,5},{6,4,6,4,3})</f>
        <v>6</v>
      </c>
      <c r="G163" s="192" t="s">
        <v>236</v>
      </c>
      <c r="H163" s="193">
        <v>49500</v>
      </c>
      <c r="I163" s="194">
        <f t="shared" si="23"/>
        <v>0</v>
      </c>
      <c r="J163" s="194">
        <f t="shared" si="24"/>
        <v>0</v>
      </c>
      <c r="K163" s="194">
        <f t="shared" si="25"/>
        <v>0</v>
      </c>
      <c r="L163" s="194">
        <f t="shared" si="26"/>
        <v>0.11899999999999999</v>
      </c>
      <c r="M163" s="84">
        <f t="shared" si="27"/>
        <v>0.11899999999999999</v>
      </c>
      <c r="N163" s="195">
        <f t="shared" si="21"/>
        <v>0.47599999999999998</v>
      </c>
      <c r="O163" s="36" t="str">
        <f t="shared" si="22"/>
        <v>OK</v>
      </c>
      <c r="P163" s="196">
        <f t="shared" si="28"/>
        <v>0</v>
      </c>
      <c r="Q163" s="197">
        <f t="shared" si="29"/>
        <v>0</v>
      </c>
      <c r="R163" s="198"/>
      <c r="S163" s="198"/>
    </row>
    <row r="164" spans="1:19" ht="15" x14ac:dyDescent="0.25">
      <c r="A164" s="138" t="str">
        <f t="shared" si="30"/>
        <v>D-2nd flr</v>
      </c>
      <c r="B164" s="141">
        <f t="shared" si="31"/>
        <v>89.020750000000007</v>
      </c>
      <c r="C164" s="141"/>
      <c r="D164" s="191">
        <v>1</v>
      </c>
      <c r="E164" s="192">
        <f>LOOKUP(D164,{1,2,3,4,5},{8,8,10,10,10})</f>
        <v>8</v>
      </c>
      <c r="F164" s="192">
        <f>LOOKUP(D164,{1,2,3,4,5},{6,4,6,4,3})</f>
        <v>6</v>
      </c>
      <c r="G164" s="192" t="s">
        <v>236</v>
      </c>
      <c r="H164" s="193">
        <v>49500</v>
      </c>
    </row>
    <row r="165" spans="1:19" ht="15" x14ac:dyDescent="0.25">
      <c r="A165" s="138" t="str">
        <f t="shared" si="30"/>
        <v>D-1st flr</v>
      </c>
      <c r="B165" s="141">
        <f t="shared" si="31"/>
        <v>109.56400000000001</v>
      </c>
      <c r="C165" s="199"/>
      <c r="D165" s="200">
        <v>1</v>
      </c>
      <c r="E165" s="201">
        <f>LOOKUP(D165,{1,2,3,4,5},{8,8,10,10,10})</f>
        <v>8</v>
      </c>
      <c r="F165" s="201">
        <f>LOOKUP(D165,{1,2,3,4,5},{6,4,6,4,3})</f>
        <v>6</v>
      </c>
      <c r="G165" s="201" t="s">
        <v>236</v>
      </c>
      <c r="H165" s="202">
        <v>49500</v>
      </c>
      <c r="M165" s="206"/>
      <c r="N165" s="206"/>
      <c r="O165" s="206"/>
    </row>
    <row r="166" spans="1:19" ht="15" x14ac:dyDescent="0.25">
      <c r="A166" s="138"/>
      <c r="B166" s="141"/>
      <c r="C166" s="199"/>
      <c r="D166" s="200"/>
      <c r="E166" s="201"/>
      <c r="F166" s="201"/>
      <c r="G166" s="201"/>
      <c r="H166" s="202"/>
      <c r="M166" s="107"/>
      <c r="N166" s="107"/>
      <c r="O166" s="107"/>
    </row>
    <row r="167" spans="1:19" ht="15" x14ac:dyDescent="0.25">
      <c r="A167" s="138"/>
      <c r="B167" s="141"/>
      <c r="C167" s="199"/>
      <c r="D167" s="200"/>
      <c r="E167" s="201"/>
      <c r="F167" s="201"/>
      <c r="G167" s="201"/>
      <c r="H167" s="202"/>
      <c r="M167" s="73"/>
      <c r="N167" s="80"/>
      <c r="O167" s="105"/>
    </row>
    <row r="168" spans="1:19" ht="15" x14ac:dyDescent="0.25">
      <c r="A168" s="138" t="str">
        <f t="shared" si="30"/>
        <v>1-2nd flr</v>
      </c>
      <c r="B168" s="141">
        <f t="shared" ref="B168:B175" si="32">IF(F137&gt;G137,F137,G137)/B137</f>
        <v>483.64680000000004</v>
      </c>
      <c r="C168" s="199"/>
      <c r="D168" s="200">
        <v>1</v>
      </c>
      <c r="E168" s="201">
        <f>LOOKUP(D168,{1,2,3,4,5},{8,8,10,10,10})</f>
        <v>8</v>
      </c>
      <c r="F168" s="201">
        <f>LOOKUP(D168,{1,2,3,4,5},{6,4,6,4,3})</f>
        <v>6</v>
      </c>
      <c r="G168" s="201" t="s">
        <v>236</v>
      </c>
      <c r="H168" s="202">
        <v>49500</v>
      </c>
      <c r="M168" s="74"/>
      <c r="N168" s="80"/>
      <c r="O168" s="105"/>
    </row>
    <row r="169" spans="1:19" ht="15" x14ac:dyDescent="0.25">
      <c r="A169" s="138" t="str">
        <f t="shared" si="30"/>
        <v>1-1st flr</v>
      </c>
      <c r="B169" s="141">
        <f t="shared" si="32"/>
        <v>1091.7270000000001</v>
      </c>
      <c r="C169" s="199"/>
      <c r="D169" s="200">
        <v>2</v>
      </c>
      <c r="E169" s="201">
        <f>LOOKUP(D169,{1,2,3,4,5},{8,8,10,10,10})</f>
        <v>8</v>
      </c>
      <c r="F169" s="201">
        <f>LOOKUP(D169,{1,2,3,4,5},{6,4,6,4,3})</f>
        <v>4</v>
      </c>
      <c r="G169" s="201" t="s">
        <v>236</v>
      </c>
      <c r="H169" s="202">
        <v>49500</v>
      </c>
      <c r="M169" s="74"/>
      <c r="N169" s="80"/>
      <c r="O169" s="105"/>
    </row>
    <row r="170" spans="1:19" ht="15" x14ac:dyDescent="0.25">
      <c r="A170" s="138" t="str">
        <f t="shared" si="30"/>
        <v>4-roof</v>
      </c>
      <c r="B170" s="141">
        <f t="shared" si="32"/>
        <v>669.12300000000005</v>
      </c>
      <c r="C170" s="199"/>
      <c r="D170" s="200">
        <v>1</v>
      </c>
      <c r="E170" s="201">
        <f>LOOKUP(D170,{1,2,3,4,5},{8,8,10,10,10})</f>
        <v>8</v>
      </c>
      <c r="F170" s="201">
        <f>LOOKUP(D170,{1,2,3,4,5},{6,4,6,4,3})</f>
        <v>6</v>
      </c>
      <c r="G170" s="201" t="s">
        <v>236</v>
      </c>
      <c r="H170" s="202">
        <v>49500</v>
      </c>
      <c r="M170" s="73"/>
      <c r="N170" s="80"/>
      <c r="O170" s="105"/>
    </row>
    <row r="171" spans="1:19" ht="15" x14ac:dyDescent="0.25">
      <c r="A171" s="138" t="str">
        <f t="shared" si="30"/>
        <v>4-floor</v>
      </c>
      <c r="B171" s="141">
        <f t="shared" si="32"/>
        <v>0</v>
      </c>
      <c r="C171" s="199"/>
      <c r="D171" s="200">
        <v>1</v>
      </c>
      <c r="E171" s="201">
        <f>LOOKUP(D171,{1,2,3,4,5},{8,8,10,10,10})</f>
        <v>8</v>
      </c>
      <c r="F171" s="201">
        <f>LOOKUP(D171,{1,2,3,4,5},{6,4,6,4,3})</f>
        <v>6</v>
      </c>
      <c r="G171" s="201" t="s">
        <v>236</v>
      </c>
      <c r="H171" s="202">
        <v>49500</v>
      </c>
      <c r="M171" s="105"/>
      <c r="N171" s="80"/>
      <c r="O171" s="73"/>
    </row>
    <row r="172" spans="1:19" ht="15" x14ac:dyDescent="0.25">
      <c r="A172" s="138" t="str">
        <f t="shared" si="30"/>
        <v>5-roof</v>
      </c>
      <c r="B172" s="141">
        <f t="shared" si="32"/>
        <v>0</v>
      </c>
      <c r="C172" s="199"/>
      <c r="D172" s="200">
        <v>1</v>
      </c>
      <c r="E172" s="201">
        <f>LOOKUP(D172,{1,2,3,4,5},{8,8,10,10,10})</f>
        <v>8</v>
      </c>
      <c r="F172" s="201">
        <f>LOOKUP(D172,{1,2,3,4,5},{6,4,6,4,3})</f>
        <v>6</v>
      </c>
      <c r="G172" s="201" t="s">
        <v>236</v>
      </c>
      <c r="H172" s="202">
        <v>49500</v>
      </c>
      <c r="M172" s="105"/>
      <c r="N172" s="80"/>
      <c r="O172" s="73"/>
    </row>
    <row r="173" spans="1:19" ht="15" x14ac:dyDescent="0.25">
      <c r="A173" s="138" t="str">
        <f t="shared" si="30"/>
        <v>5-floor</v>
      </c>
      <c r="B173" s="141">
        <f t="shared" si="32"/>
        <v>0</v>
      </c>
      <c r="C173" s="199"/>
      <c r="D173" s="200">
        <v>2</v>
      </c>
      <c r="E173" s="201">
        <f>LOOKUP(D173,{1,2,3,4,5},{8,8,10,10,10})</f>
        <v>8</v>
      </c>
      <c r="F173" s="201">
        <f>LOOKUP(D173,{1,2,3,4,5},{6,4,6,4,3})</f>
        <v>4</v>
      </c>
      <c r="G173" s="201" t="s">
        <v>236</v>
      </c>
      <c r="H173" s="202">
        <v>49500</v>
      </c>
    </row>
    <row r="174" spans="1:19" ht="15" x14ac:dyDescent="0.25">
      <c r="A174" s="138" t="str">
        <f t="shared" si="30"/>
        <v>-</v>
      </c>
      <c r="B174" s="141">
        <f t="shared" si="32"/>
        <v>0</v>
      </c>
      <c r="C174" s="141"/>
      <c r="D174" s="203">
        <v>1</v>
      </c>
      <c r="E174" s="204">
        <f>LOOKUP(D174,{1,2,3,4,5},{8,8,10,10,10})</f>
        <v>8</v>
      </c>
      <c r="F174" s="204">
        <f>LOOKUP(D174,{1,2,3,4,5},{6,4,6,4,3})</f>
        <v>6</v>
      </c>
      <c r="G174" s="204" t="s">
        <v>236</v>
      </c>
      <c r="H174" s="205">
        <v>49500</v>
      </c>
    </row>
    <row r="175" spans="1:19" ht="15" x14ac:dyDescent="0.25">
      <c r="A175" s="138" t="str">
        <f t="shared" si="30"/>
        <v>-</v>
      </c>
      <c r="B175" s="141">
        <f t="shared" si="32"/>
        <v>0</v>
      </c>
      <c r="C175" s="141"/>
      <c r="D175" s="203">
        <v>1</v>
      </c>
      <c r="E175" s="204">
        <f>LOOKUP(D175,{1,2,3,4,5},{8,8,10,10,10})</f>
        <v>8</v>
      </c>
      <c r="F175" s="204">
        <f>LOOKUP(D175,{1,2,3,4,5},{6,4,6,4,3})</f>
        <v>6</v>
      </c>
      <c r="G175" s="204" t="s">
        <v>236</v>
      </c>
      <c r="H175" s="205">
        <v>49500</v>
      </c>
    </row>
    <row r="177" spans="1:7" x14ac:dyDescent="0.2">
      <c r="A177" s="222" t="s">
        <v>237</v>
      </c>
      <c r="B177" s="223"/>
      <c r="C177" s="223"/>
      <c r="D177" s="223"/>
      <c r="E177" s="224"/>
    </row>
    <row r="178" spans="1:7" x14ac:dyDescent="0.2">
      <c r="A178" s="222" t="s">
        <v>238</v>
      </c>
      <c r="B178" s="223"/>
      <c r="C178" s="223"/>
      <c r="D178" s="223"/>
      <c r="E178" s="224"/>
    </row>
    <row r="179" spans="1:7" x14ac:dyDescent="0.2">
      <c r="A179" s="29" t="s">
        <v>239</v>
      </c>
      <c r="B179" s="29" t="s">
        <v>240</v>
      </c>
      <c r="C179" s="225" t="s">
        <v>241</v>
      </c>
      <c r="D179" s="225"/>
      <c r="E179" s="29" t="s">
        <v>242</v>
      </c>
    </row>
    <row r="180" spans="1:7" x14ac:dyDescent="0.2">
      <c r="A180" s="207">
        <v>1</v>
      </c>
      <c r="B180" s="105">
        <v>8</v>
      </c>
      <c r="C180" s="105">
        <v>6</v>
      </c>
      <c r="D180" s="105">
        <v>12</v>
      </c>
      <c r="E180" s="208">
        <v>280</v>
      </c>
    </row>
    <row r="181" spans="1:7" x14ac:dyDescent="0.2">
      <c r="A181" s="209">
        <v>2</v>
      </c>
      <c r="B181" s="32">
        <v>8</v>
      </c>
      <c r="C181" s="32">
        <v>4</v>
      </c>
      <c r="D181" s="32">
        <v>12</v>
      </c>
      <c r="E181" s="210">
        <v>430</v>
      </c>
    </row>
    <row r="182" spans="1:7" x14ac:dyDescent="0.2">
      <c r="A182" s="207">
        <v>3</v>
      </c>
      <c r="B182" s="105">
        <v>10</v>
      </c>
      <c r="C182" s="105">
        <v>6</v>
      </c>
      <c r="D182" s="105">
        <v>12</v>
      </c>
      <c r="E182" s="208">
        <v>340</v>
      </c>
    </row>
    <row r="183" spans="1:7" x14ac:dyDescent="0.2">
      <c r="A183" s="207">
        <v>4</v>
      </c>
      <c r="B183" s="105">
        <v>10</v>
      </c>
      <c r="C183" s="105">
        <v>4</v>
      </c>
      <c r="D183" s="105">
        <v>12</v>
      </c>
      <c r="E183" s="208">
        <v>510</v>
      </c>
    </row>
    <row r="184" spans="1:7" x14ac:dyDescent="0.2">
      <c r="A184" s="209">
        <v>5</v>
      </c>
      <c r="B184" s="32">
        <v>10</v>
      </c>
      <c r="C184" s="32">
        <v>3</v>
      </c>
      <c r="D184" s="32">
        <v>12</v>
      </c>
      <c r="E184" s="210">
        <v>665</v>
      </c>
    </row>
    <row r="186" spans="1:7" x14ac:dyDescent="0.2">
      <c r="A186" s="37" t="s">
        <v>243</v>
      </c>
      <c r="B186" s="37" t="s">
        <v>244</v>
      </c>
      <c r="C186" s="37" t="s">
        <v>245</v>
      </c>
      <c r="F186" s="140" t="s">
        <v>246</v>
      </c>
      <c r="G186" s="37" t="s">
        <v>247</v>
      </c>
    </row>
    <row r="187" spans="1:7" x14ac:dyDescent="0.2">
      <c r="A187" s="138" t="s">
        <v>248</v>
      </c>
      <c r="B187" s="37" t="s">
        <v>249</v>
      </c>
      <c r="C187" s="140">
        <v>1500</v>
      </c>
      <c r="F187" s="140"/>
      <c r="G187" s="37" t="s">
        <v>250</v>
      </c>
    </row>
    <row r="188" spans="1:7" x14ac:dyDescent="0.2">
      <c r="A188" s="138" t="s">
        <v>251</v>
      </c>
      <c r="B188" s="37" t="s">
        <v>249</v>
      </c>
      <c r="C188" s="139">
        <v>3610</v>
      </c>
      <c r="F188" s="138" t="s">
        <v>252</v>
      </c>
      <c r="G188" s="140">
        <v>485</v>
      </c>
    </row>
    <row r="189" spans="1:7" x14ac:dyDescent="0.2">
      <c r="A189" s="138" t="s">
        <v>253</v>
      </c>
      <c r="B189" s="37" t="s">
        <v>249</v>
      </c>
      <c r="C189" s="139">
        <v>4670</v>
      </c>
      <c r="F189" s="138" t="s">
        <v>254</v>
      </c>
      <c r="G189" s="140">
        <v>695</v>
      </c>
    </row>
    <row r="190" spans="1:7" x14ac:dyDescent="0.2">
      <c r="A190" s="37" t="s">
        <v>255</v>
      </c>
      <c r="B190" s="37" t="s">
        <v>249</v>
      </c>
      <c r="C190" s="37">
        <v>3075</v>
      </c>
      <c r="F190" s="138" t="s">
        <v>256</v>
      </c>
      <c r="G190" s="37">
        <v>645</v>
      </c>
    </row>
    <row r="191" spans="1:7" x14ac:dyDescent="0.2">
      <c r="A191" s="37" t="s">
        <v>257</v>
      </c>
      <c r="B191" s="37" t="s">
        <v>249</v>
      </c>
      <c r="C191" s="37">
        <v>4565</v>
      </c>
      <c r="F191" s="138" t="s">
        <v>258</v>
      </c>
      <c r="G191" s="37">
        <v>485</v>
      </c>
    </row>
    <row r="192" spans="1:7" x14ac:dyDescent="0.2">
      <c r="A192" s="138" t="s">
        <v>259</v>
      </c>
      <c r="B192" s="37" t="s">
        <v>249</v>
      </c>
      <c r="C192" s="140">
        <v>5645</v>
      </c>
      <c r="F192" s="138" t="s">
        <v>260</v>
      </c>
      <c r="G192" s="140">
        <v>415</v>
      </c>
    </row>
    <row r="193" spans="1:7" x14ac:dyDescent="0.2">
      <c r="A193" s="138" t="s">
        <v>261</v>
      </c>
      <c r="B193" s="37" t="s">
        <v>262</v>
      </c>
      <c r="C193" s="37">
        <v>6970</v>
      </c>
      <c r="F193" s="138" t="s">
        <v>263</v>
      </c>
      <c r="G193" s="140">
        <v>1470</v>
      </c>
    </row>
    <row r="194" spans="1:7" x14ac:dyDescent="0.2">
      <c r="A194" s="138" t="s">
        <v>264</v>
      </c>
      <c r="B194" s="37" t="s">
        <v>262</v>
      </c>
      <c r="C194" s="37">
        <v>7630</v>
      </c>
      <c r="F194" s="138" t="s">
        <v>265</v>
      </c>
      <c r="G194" s="140">
        <v>1000</v>
      </c>
    </row>
    <row r="195" spans="1:7" x14ac:dyDescent="0.2">
      <c r="F195" s="138" t="s">
        <v>266</v>
      </c>
      <c r="G195" s="140">
        <v>1180</v>
      </c>
    </row>
  </sheetData>
  <mergeCells count="49">
    <mergeCell ref="R37:Y37"/>
    <mergeCell ref="A41:B41"/>
    <mergeCell ref="D43:E43"/>
    <mergeCell ref="A44:B44"/>
    <mergeCell ref="G43:H43"/>
    <mergeCell ref="A19:B19"/>
    <mergeCell ref="R29:Y29"/>
    <mergeCell ref="A30:B30"/>
    <mergeCell ref="F30:G30"/>
    <mergeCell ref="X30:Y30"/>
    <mergeCell ref="D73:E73"/>
    <mergeCell ref="E38:H38"/>
    <mergeCell ref="X38:Y38"/>
    <mergeCell ref="A56:B56"/>
    <mergeCell ref="G58:H58"/>
    <mergeCell ref="A59:B59"/>
    <mergeCell ref="D59:E59"/>
    <mergeCell ref="R52:Y52"/>
    <mergeCell ref="X54:Y54"/>
    <mergeCell ref="A67:B67"/>
    <mergeCell ref="D68:E68"/>
    <mergeCell ref="G68:H68"/>
    <mergeCell ref="R106:Y106"/>
    <mergeCell ref="A75:B75"/>
    <mergeCell ref="A78:B78"/>
    <mergeCell ref="D79:E79"/>
    <mergeCell ref="A87:C87"/>
    <mergeCell ref="A89:A90"/>
    <mergeCell ref="B89:E89"/>
    <mergeCell ref="F89:G89"/>
    <mergeCell ref="H89:H90"/>
    <mergeCell ref="M77:M78"/>
    <mergeCell ref="R77:Y77"/>
    <mergeCell ref="X78:Y78"/>
    <mergeCell ref="R108:Y108"/>
    <mergeCell ref="X109:Y109"/>
    <mergeCell ref="A122:D122"/>
    <mergeCell ref="A123:C123"/>
    <mergeCell ref="A125:A126"/>
    <mergeCell ref="B125:B126"/>
    <mergeCell ref="C125:D125"/>
    <mergeCell ref="A178:E178"/>
    <mergeCell ref="C179:D179"/>
    <mergeCell ref="R118:Y118"/>
    <mergeCell ref="X122:Y122"/>
    <mergeCell ref="R126:Y126"/>
    <mergeCell ref="X127:Y127"/>
    <mergeCell ref="A146:B146"/>
    <mergeCell ref="A177:E177"/>
  </mergeCells>
  <conditionalFormatting sqref="G127:G134 G137:G144">
    <cfRule type="cellIs" dxfId="5" priority="1" stopIfTrue="1" operator="greaterThan">
      <formula>F127</formula>
    </cfRule>
  </conditionalFormatting>
  <conditionalFormatting sqref="F127:F134 F137:F144">
    <cfRule type="cellIs" dxfId="4" priority="2" stopIfTrue="1" operator="greaterThan">
      <formula>G127</formula>
    </cfRule>
  </conditionalFormatting>
  <conditionalFormatting sqref="N146:O163">
    <cfRule type="expression" dxfId="3" priority="3" stopIfTrue="1">
      <formula>NOT(ISERROR(SEARCH("NO GOOD",N146)))</formula>
    </cfRule>
  </conditionalFormatting>
  <conditionalFormatting sqref="I115:I131">
    <cfRule type="cellIs" dxfId="2" priority="4" stopIfTrue="1" operator="greaterThan">
      <formula>#REF!</formula>
    </cfRule>
  </conditionalFormatting>
  <printOptions horizontalCentered="1" verticalCentered="1"/>
  <pageMargins left="0.05" right="0.05" top="0.1" bottom="0.1" header="0.5" footer="0.05"/>
  <pageSetup scale="87" orientation="portrait" r:id="rId1"/>
  <headerFooter alignWithMargins="0"/>
  <rowBreaks count="1" manualBreakCount="1">
    <brk id="132" max="25" man="1"/>
  </rowBreaks>
  <colBreaks count="1" manualBreakCount="1">
    <brk id="26" max="152" man="1"/>
  </col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0</xdr:col>
                <xdr:colOff>95250</xdr:colOff>
                <xdr:row>19</xdr:row>
                <xdr:rowOff>85725</xdr:rowOff>
              </from>
              <to>
                <xdr:col>1</xdr:col>
                <xdr:colOff>57150</xdr:colOff>
                <xdr:row>23</xdr:row>
                <xdr:rowOff>133350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>
              <from>
                <xdr:col>0</xdr:col>
                <xdr:colOff>19050</xdr:colOff>
                <xdr:row>24</xdr:row>
                <xdr:rowOff>47625</xdr:rowOff>
              </from>
              <to>
                <xdr:col>1</xdr:col>
                <xdr:colOff>95250</xdr:colOff>
                <xdr:row>28</xdr:row>
                <xdr:rowOff>85725</xdr:rowOff>
              </to>
            </anchor>
          </objectPr>
        </oleObject>
      </mc:Choice>
      <mc:Fallback>
        <oleObject progId="Equation.3" shapeId="20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0"/>
  <sheetViews>
    <sheetView showGridLines="0" tabSelected="1" zoomScale="55" zoomScaleNormal="55" workbookViewId="0">
      <selection activeCell="J55" sqref="J55"/>
    </sheetView>
  </sheetViews>
  <sheetFormatPr defaultRowHeight="12.75" x14ac:dyDescent="0.2"/>
  <cols>
    <col min="2" max="2" width="10.42578125" customWidth="1"/>
    <col min="6" max="6" width="13.140625" customWidth="1"/>
    <col min="7" max="7" width="10.140625" customWidth="1"/>
    <col min="10" max="10" width="10.42578125" customWidth="1"/>
    <col min="11" max="11" width="10.28515625" customWidth="1"/>
  </cols>
  <sheetData>
    <row r="1" spans="2:11" ht="15" x14ac:dyDescent="0.2">
      <c r="B1" s="248" t="s">
        <v>0</v>
      </c>
      <c r="C1" s="248"/>
      <c r="D1" s="248"/>
      <c r="E1" s="248"/>
      <c r="F1" s="248"/>
      <c r="G1" s="248"/>
      <c r="H1" s="248"/>
      <c r="I1" s="248"/>
      <c r="J1" s="248"/>
      <c r="K1" s="1"/>
    </row>
    <row r="2" spans="2:11" x14ac:dyDescent="0.2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" x14ac:dyDescent="0.2">
      <c r="B3" s="1"/>
      <c r="C3" s="2" t="s">
        <v>1</v>
      </c>
      <c r="D3" s="3">
        <v>500</v>
      </c>
      <c r="E3" s="4"/>
      <c r="F3" s="249" t="s">
        <v>2</v>
      </c>
      <c r="G3" s="249"/>
      <c r="H3" s="249"/>
      <c r="I3" s="249"/>
      <c r="J3" s="1"/>
      <c r="K3" s="1"/>
    </row>
    <row r="4" spans="2:11" ht="15.75" x14ac:dyDescent="0.3">
      <c r="B4" s="1"/>
      <c r="C4" s="2" t="s">
        <v>3</v>
      </c>
      <c r="D4" s="5">
        <v>4</v>
      </c>
      <c r="E4" s="4"/>
      <c r="F4" s="6" t="s">
        <v>4</v>
      </c>
      <c r="G4" s="6" t="s">
        <v>5</v>
      </c>
      <c r="H4" s="7" t="s">
        <v>6</v>
      </c>
      <c r="I4" s="7" t="s">
        <v>7</v>
      </c>
      <c r="J4" s="1"/>
      <c r="K4" s="1"/>
    </row>
    <row r="5" spans="2:11" ht="15" x14ac:dyDescent="0.2">
      <c r="B5" s="1"/>
      <c r="C5" s="2" t="s">
        <v>8</v>
      </c>
      <c r="D5" s="8">
        <v>7</v>
      </c>
      <c r="E5" s="9"/>
      <c r="F5" s="10" t="s">
        <v>9</v>
      </c>
      <c r="G5" s="11" t="s">
        <v>10</v>
      </c>
      <c r="H5" s="12">
        <v>2410</v>
      </c>
      <c r="I5" s="12">
        <v>1230</v>
      </c>
      <c r="J5" s="1"/>
      <c r="K5" s="1"/>
    </row>
    <row r="6" spans="2:11" x14ac:dyDescent="0.2">
      <c r="B6" s="250" t="s">
        <v>11</v>
      </c>
      <c r="C6" s="251"/>
      <c r="D6" s="13">
        <f>D5+C17</f>
        <v>7.208333333333333</v>
      </c>
      <c r="E6" s="14"/>
      <c r="F6" s="10" t="s">
        <v>12</v>
      </c>
      <c r="G6" s="7" t="s">
        <v>10</v>
      </c>
      <c r="H6" s="12">
        <v>2410</v>
      </c>
      <c r="I6" s="12">
        <v>1420</v>
      </c>
      <c r="J6" s="1"/>
      <c r="K6" s="1"/>
    </row>
    <row r="7" spans="2:11" x14ac:dyDescent="0.2">
      <c r="B7" s="252" t="s">
        <v>13</v>
      </c>
      <c r="C7" s="252"/>
      <c r="D7" s="11">
        <v>1.6</v>
      </c>
      <c r="E7" s="4"/>
      <c r="F7" s="253" t="s">
        <v>278</v>
      </c>
      <c r="G7" s="254"/>
      <c r="H7" s="254"/>
      <c r="I7" s="255"/>
      <c r="J7" s="4"/>
      <c r="K7" s="1"/>
    </row>
    <row r="8" spans="2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 x14ac:dyDescent="0.2">
      <c r="B9" s="249" t="s">
        <v>14</v>
      </c>
      <c r="C9" s="249"/>
      <c r="D9" s="249"/>
      <c r="E9" s="249"/>
      <c r="F9" s="15"/>
      <c r="G9" s="1"/>
      <c r="H9" s="1"/>
      <c r="I9" s="1"/>
      <c r="J9" s="1"/>
      <c r="K9" s="1"/>
    </row>
    <row r="10" spans="2:11" ht="15.75" x14ac:dyDescent="0.2">
      <c r="B10" s="10" t="s">
        <v>15</v>
      </c>
      <c r="C10" s="7" t="s">
        <v>16</v>
      </c>
      <c r="D10" s="10" t="s">
        <v>17</v>
      </c>
      <c r="E10" s="10" t="s">
        <v>18</v>
      </c>
      <c r="F10" s="10" t="s">
        <v>19</v>
      </c>
      <c r="G10" s="1"/>
      <c r="H10" s="1"/>
      <c r="I10" s="1"/>
      <c r="J10" s="1"/>
      <c r="K10" s="1"/>
    </row>
    <row r="11" spans="2:11" x14ac:dyDescent="0.2">
      <c r="B11" s="12">
        <f>D3/D4</f>
        <v>125</v>
      </c>
      <c r="C11" s="7">
        <v>1212</v>
      </c>
      <c r="D11" s="13">
        <f>D6</f>
        <v>7.208333333333333</v>
      </c>
      <c r="E11" s="13">
        <f>D17</f>
        <v>0.6875</v>
      </c>
      <c r="F11" s="12">
        <f>B11*D11/E11</f>
        <v>1310.6060606060605</v>
      </c>
      <c r="G11" s="1"/>
      <c r="H11" s="1"/>
      <c r="I11" s="1"/>
      <c r="J11" s="1"/>
      <c r="K11" s="1"/>
    </row>
    <row r="12" spans="2:11" x14ac:dyDescent="0.2">
      <c r="B12" s="12">
        <f>D3/D4</f>
        <v>125</v>
      </c>
      <c r="C12" s="7">
        <v>1616</v>
      </c>
      <c r="D12" s="13">
        <f>D6</f>
        <v>7.208333333333333</v>
      </c>
      <c r="E12" s="13">
        <f>D19</f>
        <v>1.0208333333333333</v>
      </c>
      <c r="F12" s="12">
        <f>B12*D12/E12</f>
        <v>882.65306122448987</v>
      </c>
      <c r="G12" s="1"/>
      <c r="H12" s="1"/>
      <c r="I12" s="1"/>
      <c r="J12" s="1"/>
      <c r="K12" s="1"/>
    </row>
    <row r="13" spans="2:11" x14ac:dyDescent="0.2">
      <c r="B13" s="16"/>
      <c r="C13" s="17"/>
      <c r="D13" s="18"/>
      <c r="E13" s="18"/>
      <c r="F13" s="16"/>
      <c r="G13" s="1"/>
      <c r="H13" s="1"/>
      <c r="I13" s="1"/>
      <c r="J13" s="1"/>
      <c r="K13" s="1"/>
    </row>
    <row r="14" spans="2:11" x14ac:dyDescent="0.2">
      <c r="B14" s="249" t="s">
        <v>20</v>
      </c>
      <c r="C14" s="249"/>
      <c r="D14" s="249"/>
      <c r="E14" s="249"/>
      <c r="F14" s="1"/>
      <c r="G14" s="1"/>
      <c r="H14" s="1"/>
      <c r="I14" s="1"/>
      <c r="J14" s="1"/>
      <c r="K14" s="1"/>
    </row>
    <row r="15" spans="2:11" x14ac:dyDescent="0.2">
      <c r="B15" s="260" t="s">
        <v>21</v>
      </c>
      <c r="C15" s="261"/>
      <c r="D15" s="261"/>
      <c r="E15" s="261"/>
      <c r="F15" s="249" t="s">
        <v>22</v>
      </c>
      <c r="G15" s="249"/>
      <c r="H15" s="249"/>
      <c r="I15" s="262" t="s">
        <v>23</v>
      </c>
      <c r="J15" s="262"/>
      <c r="K15" s="262"/>
    </row>
    <row r="16" spans="2:11" ht="15.75" x14ac:dyDescent="0.2">
      <c r="B16" s="10" t="s">
        <v>16</v>
      </c>
      <c r="C16" s="10" t="s">
        <v>24</v>
      </c>
      <c r="D16" s="10" t="s">
        <v>18</v>
      </c>
      <c r="E16" s="19" t="s">
        <v>25</v>
      </c>
      <c r="F16" s="10" t="s">
        <v>26</v>
      </c>
      <c r="G16" s="10" t="s">
        <v>9</v>
      </c>
      <c r="H16" s="10" t="s">
        <v>12</v>
      </c>
      <c r="I16" s="19" t="s">
        <v>27</v>
      </c>
      <c r="J16" s="4" t="s">
        <v>28</v>
      </c>
      <c r="K16" s="19" t="s">
        <v>26</v>
      </c>
    </row>
    <row r="17" spans="2:11" x14ac:dyDescent="0.2">
      <c r="B17" s="10" t="s">
        <v>29</v>
      </c>
      <c r="C17" s="13">
        <f>2.5/12</f>
        <v>0.20833333333333334</v>
      </c>
      <c r="D17" s="13">
        <f>8.25/12</f>
        <v>0.6875</v>
      </c>
      <c r="E17" s="11">
        <v>2</v>
      </c>
      <c r="F17" s="12">
        <v>565</v>
      </c>
      <c r="G17" s="12">
        <f>$I$5*E17*$D$7</f>
        <v>3936</v>
      </c>
      <c r="H17" s="12">
        <f>$I$6*E17*$D$7</f>
        <v>4544</v>
      </c>
      <c r="I17" s="11" t="str">
        <f>IF(G17&gt;F11,"ok","bad")</f>
        <v>ok</v>
      </c>
      <c r="J17" s="11" t="str">
        <f>IF(H17&gt;F11,"ok","bad")</f>
        <v>ok</v>
      </c>
      <c r="K17" s="11" t="str">
        <f>IF(F17&gt;B11,"ok","bad")</f>
        <v>ok</v>
      </c>
    </row>
    <row r="18" spans="2:11" x14ac:dyDescent="0.2">
      <c r="B18" s="10" t="s">
        <v>30</v>
      </c>
      <c r="C18" s="13">
        <f t="shared" ref="C18:C20" si="0">2.5/12</f>
        <v>0.20833333333333334</v>
      </c>
      <c r="D18" s="13">
        <f>8.25/12</f>
        <v>0.6875</v>
      </c>
      <c r="E18" s="11">
        <v>2</v>
      </c>
      <c r="F18" s="12">
        <v>565</v>
      </c>
      <c r="G18" s="12">
        <f>$I$5*E18*$D$7</f>
        <v>3936</v>
      </c>
      <c r="H18" s="12">
        <f>$I$6*E18*$D$7</f>
        <v>4544</v>
      </c>
      <c r="I18" s="11" t="str">
        <f>IF(G18&gt;F11,"ok","bad")</f>
        <v>ok</v>
      </c>
      <c r="J18" s="11" t="str">
        <f>IF(H18&gt;F11,"ok","bad")</f>
        <v>ok</v>
      </c>
      <c r="K18" s="11" t="str">
        <f>IF(F18&gt;B11,"ok","bad")</f>
        <v>ok</v>
      </c>
    </row>
    <row r="19" spans="2:11" x14ac:dyDescent="0.2">
      <c r="B19" s="10" t="s">
        <v>31</v>
      </c>
      <c r="C19" s="13">
        <f t="shared" si="0"/>
        <v>0.20833333333333334</v>
      </c>
      <c r="D19" s="13">
        <f>12.25/12</f>
        <v>1.0208333333333333</v>
      </c>
      <c r="E19" s="11">
        <v>2</v>
      </c>
      <c r="F19" s="12">
        <v>815</v>
      </c>
      <c r="G19" s="12">
        <f>$I$5*E19*$D$7</f>
        <v>3936</v>
      </c>
      <c r="H19" s="12">
        <f>$I$6*E19*$D$7</f>
        <v>4544</v>
      </c>
      <c r="I19" s="11" t="str">
        <f>IF(G19&gt;F12,"ok","bad")</f>
        <v>ok</v>
      </c>
      <c r="J19" s="11" t="str">
        <f>IF(H19&gt;F12,"ok","bad")</f>
        <v>ok</v>
      </c>
      <c r="K19" s="11" t="str">
        <f>IF(F19&gt;B12,"ok","bad")</f>
        <v>ok</v>
      </c>
    </row>
    <row r="20" spans="2:11" x14ac:dyDescent="0.2">
      <c r="B20" s="10" t="s">
        <v>32</v>
      </c>
      <c r="C20" s="13">
        <f t="shared" si="0"/>
        <v>0.20833333333333334</v>
      </c>
      <c r="D20" s="13">
        <f>12.25/12</f>
        <v>1.0208333333333333</v>
      </c>
      <c r="E20" s="11">
        <v>2</v>
      </c>
      <c r="F20" s="12">
        <v>815</v>
      </c>
      <c r="G20" s="12">
        <f>$I$5*E20*$D$7</f>
        <v>3936</v>
      </c>
      <c r="H20" s="12">
        <f>$I$6*E20*$D$7</f>
        <v>4544</v>
      </c>
      <c r="I20" s="11" t="str">
        <f>IF(G20&gt;F12,"ok","bad")</f>
        <v>ok</v>
      </c>
      <c r="J20" s="11" t="str">
        <f>IF(H20&gt;F12,"ok","bad")</f>
        <v>ok</v>
      </c>
      <c r="K20" s="11" t="str">
        <f>IF(F20&gt;B12,"ok","bad")</f>
        <v>ok</v>
      </c>
    </row>
    <row r="22" spans="2:11" ht="15" x14ac:dyDescent="0.2">
      <c r="B22" s="20" t="s">
        <v>33</v>
      </c>
      <c r="C22" s="20"/>
      <c r="D22" s="21"/>
      <c r="E22" s="21"/>
      <c r="F22" s="21"/>
      <c r="G22" s="21"/>
      <c r="H22" s="21"/>
      <c r="I22" s="21"/>
      <c r="J22" s="21"/>
    </row>
    <row r="24" spans="2:11" x14ac:dyDescent="0.2">
      <c r="B24" s="241" t="s">
        <v>35</v>
      </c>
      <c r="C24" s="243"/>
      <c r="E24" s="263" t="s">
        <v>36</v>
      </c>
      <c r="F24" s="263"/>
      <c r="G24" s="263"/>
      <c r="I24" s="263" t="s">
        <v>34</v>
      </c>
      <c r="J24" s="263"/>
    </row>
    <row r="25" spans="2:11" ht="15.75" x14ac:dyDescent="0.3">
      <c r="B25" s="23" t="s">
        <v>273</v>
      </c>
      <c r="C25" s="3">
        <v>195</v>
      </c>
      <c r="I25" s="40" t="s">
        <v>37</v>
      </c>
      <c r="J25" s="215">
        <v>0.5</v>
      </c>
    </row>
    <row r="26" spans="2:11" ht="15" x14ac:dyDescent="0.2">
      <c r="B26" s="23" t="s">
        <v>3</v>
      </c>
      <c r="C26" s="24">
        <v>1</v>
      </c>
      <c r="E26" s="25" t="s">
        <v>40</v>
      </c>
      <c r="F26" s="26">
        <v>7</v>
      </c>
      <c r="G26" s="27">
        <f>F26*12</f>
        <v>84</v>
      </c>
      <c r="I26" s="29" t="s">
        <v>39</v>
      </c>
      <c r="J26" s="29">
        <v>2</v>
      </c>
    </row>
    <row r="27" spans="2:11" ht="15" x14ac:dyDescent="0.2">
      <c r="B27" s="23" t="s">
        <v>42</v>
      </c>
      <c r="C27" s="28">
        <f>C25/C26</f>
        <v>195</v>
      </c>
      <c r="E27" s="25" t="s">
        <v>43</v>
      </c>
      <c r="F27" s="26">
        <v>1.5</v>
      </c>
      <c r="G27" s="27">
        <f>F27*12</f>
        <v>18</v>
      </c>
      <c r="I27" s="40" t="s">
        <v>41</v>
      </c>
      <c r="J27" s="29">
        <v>5.5</v>
      </c>
    </row>
    <row r="28" spans="2:11" x14ac:dyDescent="0.2">
      <c r="I28" s="29" t="s">
        <v>44</v>
      </c>
      <c r="J28" s="29">
        <v>2.5</v>
      </c>
    </row>
    <row r="29" spans="2:11" ht="15" x14ac:dyDescent="0.2">
      <c r="I29" s="29" t="s">
        <v>45</v>
      </c>
      <c r="J29" s="24">
        <v>390</v>
      </c>
    </row>
    <row r="30" spans="2:11" ht="12.75" customHeight="1" x14ac:dyDescent="0.2">
      <c r="D30" s="30"/>
      <c r="E30" s="30"/>
      <c r="F30" s="30"/>
      <c r="I30" s="29" t="s">
        <v>47</v>
      </c>
      <c r="J30" s="24">
        <v>270</v>
      </c>
    </row>
    <row r="31" spans="2:11" ht="15" x14ac:dyDescent="0.2">
      <c r="E31" s="23"/>
      <c r="F31" s="28"/>
      <c r="I31" s="41" t="s">
        <v>267</v>
      </c>
      <c r="J31" s="24">
        <v>378</v>
      </c>
    </row>
    <row r="32" spans="2:11" ht="15" x14ac:dyDescent="0.2">
      <c r="I32" s="216" t="s">
        <v>271</v>
      </c>
      <c r="J32" s="214">
        <f>J29*(J26/(8*J25))</f>
        <v>195</v>
      </c>
      <c r="K32" s="23" t="s">
        <v>272</v>
      </c>
    </row>
    <row r="34" spans="7:10" x14ac:dyDescent="0.2">
      <c r="G34" s="259" t="s">
        <v>46</v>
      </c>
      <c r="H34" s="259"/>
      <c r="I34" s="259"/>
      <c r="J34" s="259"/>
    </row>
    <row r="36" spans="7:10" x14ac:dyDescent="0.2">
      <c r="J36" s="31">
        <f>(J32*J26*J31)/((J32+J31*J26)*0.5)*1.6</f>
        <v>496.05047318611992</v>
      </c>
    </row>
    <row r="39" spans="7:10" x14ac:dyDescent="0.2">
      <c r="G39" s="258" t="s">
        <v>50</v>
      </c>
      <c r="H39" s="258"/>
      <c r="I39" s="258"/>
      <c r="J39" s="258"/>
    </row>
    <row r="41" spans="7:10" x14ac:dyDescent="0.2">
      <c r="J41" s="34">
        <f>(C27*G26)/(G27*1.414)</f>
        <v>643.56435643564362</v>
      </c>
    </row>
    <row r="43" spans="7:10" ht="15" x14ac:dyDescent="0.2">
      <c r="I43" s="35" t="s">
        <v>51</v>
      </c>
      <c r="J43" s="24">
        <v>2</v>
      </c>
    </row>
    <row r="44" spans="7:10" x14ac:dyDescent="0.2">
      <c r="I44" s="35" t="s">
        <v>49</v>
      </c>
      <c r="J44" s="31">
        <f>J41/J43</f>
        <v>321.78217821782181</v>
      </c>
    </row>
    <row r="45" spans="7:10" ht="13.5" thickBot="1" x14ac:dyDescent="0.25"/>
    <row r="46" spans="7:10" ht="13.5" thickBot="1" x14ac:dyDescent="0.25">
      <c r="H46" s="264" t="s">
        <v>48</v>
      </c>
      <c r="I46" s="265"/>
      <c r="J46" s="266"/>
    </row>
    <row r="47" spans="7:10" x14ac:dyDescent="0.2">
      <c r="H47" s="211" t="s">
        <v>49</v>
      </c>
      <c r="I47" s="212">
        <f>J44</f>
        <v>321.78217821782181</v>
      </c>
      <c r="J47" s="256" t="str">
        <f>IF(J36&gt;I47,"OK","BAD")</f>
        <v>OK</v>
      </c>
    </row>
    <row r="48" spans="7:10" ht="13.5" thickBot="1" x14ac:dyDescent="0.25">
      <c r="H48" s="33"/>
      <c r="I48" s="213"/>
      <c r="J48" s="257"/>
    </row>
    <row r="51" spans="2:11" x14ac:dyDescent="0.2">
      <c r="B51" s="169" t="s">
        <v>61</v>
      </c>
      <c r="G51" s="258" t="s">
        <v>52</v>
      </c>
      <c r="H51" s="258"/>
      <c r="I51" s="258"/>
      <c r="J51" s="258"/>
    </row>
    <row r="53" spans="2:11" x14ac:dyDescent="0.2">
      <c r="C53" t="s">
        <v>38</v>
      </c>
      <c r="E53" s="28" t="s">
        <v>270</v>
      </c>
      <c r="J53" s="34">
        <f>(C27*G26)/(G27*1.414)</f>
        <v>643.56435643564362</v>
      </c>
    </row>
    <row r="55" spans="2:11" ht="15" x14ac:dyDescent="0.2">
      <c r="I55" s="35" t="s">
        <v>51</v>
      </c>
      <c r="J55" s="24">
        <v>2</v>
      </c>
    </row>
    <row r="56" spans="2:11" x14ac:dyDescent="0.2">
      <c r="I56" s="35" t="s">
        <v>49</v>
      </c>
      <c r="J56" s="31">
        <f>J53/J55</f>
        <v>321.78217821782181</v>
      </c>
    </row>
    <row r="57" spans="2:11" x14ac:dyDescent="0.2">
      <c r="E57" t="s">
        <v>268</v>
      </c>
    </row>
    <row r="58" spans="2:11" x14ac:dyDescent="0.2">
      <c r="G58" s="259" t="s">
        <v>46</v>
      </c>
      <c r="H58" s="259"/>
      <c r="I58" s="259"/>
      <c r="J58" s="259"/>
    </row>
    <row r="60" spans="2:11" x14ac:dyDescent="0.2">
      <c r="B60" s="28" t="s">
        <v>269</v>
      </c>
    </row>
    <row r="63" spans="2:11" x14ac:dyDescent="0.2">
      <c r="F63" s="40" t="s">
        <v>37</v>
      </c>
      <c r="G63" s="36" t="s">
        <v>53</v>
      </c>
      <c r="H63" s="37" t="s">
        <v>56</v>
      </c>
      <c r="I63" s="37" t="s">
        <v>57</v>
      </c>
      <c r="J63" s="37" t="s">
        <v>59</v>
      </c>
      <c r="K63" s="37" t="s">
        <v>60</v>
      </c>
    </row>
    <row r="64" spans="2:11" x14ac:dyDescent="0.2">
      <c r="F64" s="40" t="s">
        <v>41</v>
      </c>
      <c r="G64" s="38">
        <v>3.5</v>
      </c>
      <c r="H64" s="38">
        <v>3.5</v>
      </c>
      <c r="I64" s="38">
        <v>3.5</v>
      </c>
      <c r="J64" s="38">
        <v>3.5</v>
      </c>
      <c r="K64" s="38">
        <v>3.5</v>
      </c>
    </row>
    <row r="65" spans="6:11" x14ac:dyDescent="0.2">
      <c r="F65" s="29" t="s">
        <v>44</v>
      </c>
      <c r="G65" s="38">
        <v>1.5</v>
      </c>
      <c r="H65" s="38">
        <v>1.5</v>
      </c>
      <c r="I65" s="38">
        <v>1.5</v>
      </c>
      <c r="J65" s="38">
        <v>1.5</v>
      </c>
      <c r="K65" s="38">
        <v>1.5</v>
      </c>
    </row>
    <row r="66" spans="6:11" ht="15" x14ac:dyDescent="0.2">
      <c r="F66" s="29" t="s">
        <v>45</v>
      </c>
      <c r="G66" s="24">
        <v>150</v>
      </c>
      <c r="H66" s="24">
        <v>200</v>
      </c>
      <c r="I66" s="24">
        <v>390</v>
      </c>
      <c r="J66" s="24">
        <v>117</v>
      </c>
      <c r="K66" s="24">
        <v>147</v>
      </c>
    </row>
    <row r="67" spans="6:11" ht="15" x14ac:dyDescent="0.2">
      <c r="F67" s="29" t="s">
        <v>47</v>
      </c>
      <c r="G67" s="24">
        <v>120</v>
      </c>
      <c r="H67" s="24">
        <v>140</v>
      </c>
      <c r="I67" s="24">
        <v>270</v>
      </c>
      <c r="J67" s="24">
        <v>117</v>
      </c>
      <c r="K67" s="24">
        <v>147</v>
      </c>
    </row>
    <row r="68" spans="6:11" x14ac:dyDescent="0.2">
      <c r="F68" s="41" t="s">
        <v>54</v>
      </c>
      <c r="G68" s="37">
        <v>45</v>
      </c>
      <c r="H68" s="37">
        <v>45</v>
      </c>
      <c r="I68" s="37">
        <v>45</v>
      </c>
      <c r="J68" s="37">
        <v>45</v>
      </c>
      <c r="K68" s="37">
        <v>45</v>
      </c>
    </row>
    <row r="69" spans="6:11" x14ac:dyDescent="0.2">
      <c r="F69" s="41" t="s">
        <v>55</v>
      </c>
      <c r="G69" s="39">
        <f>(G66*G67)/((G66+G67)*0.5)*1.6</f>
        <v>213.33333333333337</v>
      </c>
      <c r="H69" s="39">
        <f t="shared" ref="H69:I69" si="1">(H66*H67)/((H66+H67)*0.5)*1.6</f>
        <v>263.52941176470591</v>
      </c>
      <c r="I69" s="39">
        <f t="shared" si="1"/>
        <v>510.5454545454545</v>
      </c>
      <c r="J69" s="39">
        <f t="shared" ref="J69:K69" si="2">(J66*J67)/((J66+J67)*0.5)*1.6</f>
        <v>187.20000000000002</v>
      </c>
      <c r="K69" s="39">
        <f t="shared" si="2"/>
        <v>235.20000000000002</v>
      </c>
    </row>
    <row r="70" spans="6:11" x14ac:dyDescent="0.2">
      <c r="F70" s="41" t="s">
        <v>58</v>
      </c>
      <c r="G70" s="37">
        <f>ROUNDUP(J53/G69,0)</f>
        <v>4</v>
      </c>
      <c r="H70" s="37">
        <f>ROUNDUP(J53/H69,0)</f>
        <v>3</v>
      </c>
      <c r="I70" s="37">
        <f>ROUNDUP(J53/I69,0)</f>
        <v>2</v>
      </c>
      <c r="J70" s="37">
        <f>ROUNDUP(J53/J69,0)</f>
        <v>4</v>
      </c>
      <c r="K70" s="37">
        <f>ROUNDUP(J53/K69,0)</f>
        <v>3</v>
      </c>
    </row>
  </sheetData>
  <mergeCells count="19">
    <mergeCell ref="J47:J48"/>
    <mergeCell ref="G51:J51"/>
    <mergeCell ref="B14:E14"/>
    <mergeCell ref="G58:J58"/>
    <mergeCell ref="G39:J39"/>
    <mergeCell ref="B24:C24"/>
    <mergeCell ref="B15:E15"/>
    <mergeCell ref="F15:H15"/>
    <mergeCell ref="I15:K15"/>
    <mergeCell ref="I24:J24"/>
    <mergeCell ref="E24:G24"/>
    <mergeCell ref="G34:J34"/>
    <mergeCell ref="H46:J46"/>
    <mergeCell ref="B1:J1"/>
    <mergeCell ref="F3:I3"/>
    <mergeCell ref="B6:C6"/>
    <mergeCell ref="B7:C7"/>
    <mergeCell ref="B9:E9"/>
    <mergeCell ref="F7:I7"/>
  </mergeCells>
  <conditionalFormatting sqref="I17:K20">
    <cfRule type="containsText" dxfId="1" priority="1" operator="containsText" text="bad">
      <formula>NOT(ISERROR(SEARCH("bad",I17)))</formula>
    </cfRule>
    <cfRule type="containsText" dxfId="0" priority="2" operator="containsText" text="ok">
      <formula>NOT(ISERROR(SEARCH("ok",I17)))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wind-siesmic</vt:lpstr>
      <vt:lpstr>knee brace and t strap</vt:lpstr>
      <vt:lpstr>posts</vt:lpstr>
      <vt:lpstr>'wind-siesmic'!Print_Area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Fisher</dc:creator>
  <cp:lastModifiedBy>Robert Tweed</cp:lastModifiedBy>
  <dcterms:created xsi:type="dcterms:W3CDTF">2017-08-22T00:00:17Z</dcterms:created>
  <dcterms:modified xsi:type="dcterms:W3CDTF">2018-05-31T23:22:05Z</dcterms:modified>
</cp:coreProperties>
</file>